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ntent calendar" sheetId="2" state="visible" r:id="rId2"/>
    <sheet xmlns:r="http://schemas.openxmlformats.org/officeDocument/2006/relationships" name="Month view" sheetId="3" state="visible" r:id="rId3"/>
    <sheet xmlns:r="http://schemas.openxmlformats.org/officeDocument/2006/relationships" name="Content mix" sheetId="4" state="visible" r:id="rId4"/>
    <sheet xmlns:r="http://schemas.openxmlformats.org/officeDocument/2006/relationships" name="Platform cheat sheet" sheetId="5" state="visible" r:id="rId5"/>
    <sheet xmlns:r="http://schemas.openxmlformats.org/officeDocument/2006/relationships" name="Hopper HQ import" sheetId="6" state="visible" r:id="rId6"/>
  </sheets>
  <definedNames>
    <definedName name="ExportPlatform">'Start here'!$C$11</definedName>
    <definedName name="PlatformNames">'Platform cheat sheet'!$A$7:$A$15</definedName>
    <definedName name="PlatformLimits">'Platform cheat sheet'!$B$7:$B$15</definedName>
    <definedName name="PillarNames">'Content mix'!$A$8:$A$15</definedName>
    <definedName name="Calendar_Date">'Content calendar'!$A$7:$A$506</definedName>
    <definedName name="Calendar_Pillar">'Content calendar'!$F$7:$F$506</definedName>
    <definedName name="_xlnm._FilterDatabase" localSheetId="1" hidden="1">'Content calendar'!$A$6:$P$506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+0%;-0%;0%"/>
    <numFmt numFmtId="166" formatCode="hh:mm"/>
    <numFmt numFmtId="167" formatCode="d"/>
  </numFmts>
  <fonts count="20">
    <font>
      <name val="Calibri"/>
      <family val="2"/>
      <color theme="1"/>
      <sz val="11"/>
      <scheme val="minor"/>
    </font>
    <font>
      <name val="Arial"/>
      <b val="1"/>
      <color rgb="004C88F2"/>
      <sz val="10"/>
    </font>
    <font>
      <name val="Arial"/>
      <b val="1"/>
      <color rgb="004C88F2"/>
      <sz val="20"/>
    </font>
    <font>
      <name val="Arial"/>
      <color rgb="006B7280"/>
      <sz val="11"/>
    </font>
    <font>
      <name val="Arial"/>
      <b val="1"/>
      <color rgb="001F2937"/>
      <sz val="12"/>
    </font>
    <font>
      <name val="Arial"/>
      <color rgb="001F2937"/>
      <sz val="11"/>
    </font>
    <font>
      <name val="Arial"/>
      <b val="1"/>
      <color rgb="004C88F2"/>
      <sz val="12"/>
    </font>
    <font>
      <name val="Arial"/>
      <color rgb="006B7280"/>
      <sz val="9"/>
    </font>
    <font>
      <name val="Arial"/>
      <color rgb="001F2937"/>
    </font>
    <font>
      <name val="Arial"/>
      <color rgb="004C88F2"/>
      <u val="single"/>
    </font>
    <font>
      <name val="Arial"/>
      <b val="1"/>
      <color rgb="004C88F2"/>
      <sz val="12"/>
      <u val="single"/>
    </font>
    <font>
      <name val="Arial"/>
      <color rgb="006B7280"/>
      <sz val="10"/>
    </font>
    <font>
      <name val="Arial"/>
      <b val="1"/>
      <color rgb="004C88F2"/>
      <sz val="16"/>
    </font>
    <font>
      <name val="Arial"/>
      <b val="1"/>
      <color rgb="00FFFFFF"/>
    </font>
    <font>
      <name val="Arial"/>
      <b val="1"/>
      <color rgb="001F2937"/>
    </font>
    <font>
      <name val="Arial"/>
      <color rgb="004C88F2"/>
      <sz val="9"/>
      <u val="single"/>
    </font>
    <font>
      <name val="Arial"/>
      <b val="1"/>
      <color rgb="004C88F2"/>
    </font>
    <font>
      <name val="Arial"/>
      <color rgb="001F2937"/>
      <sz val="10"/>
    </font>
    <font>
      <name val="Arial"/>
      <color rgb="006B7280"/>
      <sz val="8"/>
    </font>
    <font>
      <name val="Arial"/>
      <color rgb="00FFFFFF"/>
      <sz val="8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4C88F2"/>
        <bgColor rgb="004C88F2"/>
      </patternFill>
    </fill>
    <fill>
      <patternFill patternType="solid">
        <fgColor rgb="00F3F7FE"/>
        <bgColor rgb="00F3F7FE"/>
      </patternFill>
    </fill>
    <fill>
      <patternFill patternType="solid">
        <fgColor rgb="00E8F0FD"/>
        <bgColor rgb="00E8F0FD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medium">
        <color rgb="004C88F2"/>
      </left>
      <right style="medium">
        <color rgb="004C88F2"/>
      </right>
      <top style="medium">
        <color rgb="004C88F2"/>
      </top>
      <bottom style="medium">
        <color rgb="004C88F2"/>
      </bottom>
    </border>
    <border/>
    <border>
      <left style="thin">
        <color rgb="00D1D5DB"/>
      </left>
      <right style="thin">
        <color rgb="00D1D5DB"/>
      </right>
      <top style="thin">
        <color rgb="00D1D5DB"/>
      </top>
    </border>
    <border>
      <left style="thin">
        <color rgb="00D1D5DB"/>
      </left>
      <right style="thin">
        <color rgb="00D1D5DB"/>
      </right>
      <bottom style="thin">
        <color rgb="00D1D5DB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4" borderId="1" pivotButton="0" quotePrefix="0" xfId="0"/>
    <xf numFmtId="0" fontId="7" fillId="0" borderId="0" applyAlignment="1" pivotButton="0" quotePrefix="0" xfId="0">
      <alignment wrapText="1"/>
    </xf>
    <xf numFmtId="0" fontId="8" fillId="4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4" fillId="0" borderId="0" applyAlignment="1" pivotButton="0" quotePrefix="0" xfId="0">
      <alignment vertical="center" wrapText="1"/>
    </xf>
    <xf numFmtId="0" fontId="10" fillId="5" borderId="2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0" pivotButton="0" quotePrefix="0" xfId="0"/>
    <xf numFmtId="0" fontId="18" fillId="0" borderId="0" pivotButton="0" quotePrefix="0" xfId="0"/>
    <xf numFmtId="0" fontId="13" fillId="3" borderId="1" applyAlignment="1" pivotButton="0" quotePrefix="0" xfId="0">
      <alignment vertical="center" wrapText="1"/>
    </xf>
    <xf numFmtId="164" fontId="17" fillId="4" borderId="1" applyAlignment="1" pivotButton="0" quotePrefix="0" xfId="0">
      <alignment vertical="top"/>
    </xf>
    <xf numFmtId="166" fontId="17" fillId="4" borderId="1" applyAlignment="1" pivotButton="0" quotePrefix="0" xfId="0">
      <alignment vertical="top"/>
    </xf>
    <xf numFmtId="0" fontId="11" fillId="0" borderId="1" applyAlignment="1" pivotButton="0" quotePrefix="0" xfId="0">
      <alignment vertical="top"/>
    </xf>
    <xf numFmtId="0" fontId="17" fillId="4" borderId="1" applyAlignment="1" pivotButton="0" quotePrefix="0" xfId="0">
      <alignment vertical="top"/>
    </xf>
    <xf numFmtId="0" fontId="17" fillId="4" borderId="1" applyAlignment="1" pivotButton="0" quotePrefix="0" xfId="0">
      <alignment vertical="top" wrapText="1"/>
    </xf>
    <xf numFmtId="3" fontId="11" fillId="0" borderId="1" applyAlignment="1" pivotButton="0" quotePrefix="0" xfId="0">
      <alignment vertical="top"/>
    </xf>
    <xf numFmtId="0" fontId="14" fillId="0" borderId="0" pivotButton="0" quotePrefix="0" xfId="0"/>
    <xf numFmtId="0" fontId="16" fillId="4" borderId="1" pivotButton="0" quotePrefix="0" xfId="0"/>
    <xf numFmtId="164" fontId="19" fillId="0" borderId="0" pivotButton="0" quotePrefix="0" xfId="0"/>
    <xf numFmtId="0" fontId="14" fillId="0" borderId="0" applyAlignment="1" pivotButton="0" quotePrefix="0" xfId="0">
      <alignment horizontal="right"/>
    </xf>
    <xf numFmtId="0" fontId="6" fillId="0" borderId="0" pivotButton="0" quotePrefix="0" xfId="0"/>
    <xf numFmtId="0" fontId="13" fillId="3" borderId="0" applyAlignment="1" pivotButton="0" quotePrefix="0" xfId="0">
      <alignment horizontal="center"/>
    </xf>
    <xf numFmtId="167" fontId="14" fillId="0" borderId="4" applyAlignment="1" pivotButton="0" quotePrefix="0" xfId="0">
      <alignment horizontal="left" vertical="top"/>
    </xf>
    <xf numFmtId="0" fontId="17" fillId="0" borderId="5" applyAlignment="1" pivotButton="0" quotePrefix="0" xfId="0">
      <alignment horizontal="center" vertical="center"/>
    </xf>
    <xf numFmtId="0" fontId="7" fillId="0" borderId="0" pivotButton="0" quotePrefix="0" xfId="0"/>
    <xf numFmtId="164" fontId="16" fillId="4" borderId="1" pivotButton="0" quotePrefix="0" xfId="0"/>
    <xf numFmtId="9" fontId="8" fillId="4" borderId="1" pivotButton="0" quotePrefix="0" xfId="0"/>
    <xf numFmtId="0" fontId="8" fillId="0" borderId="1" pivotButton="0" quotePrefix="0" xfId="0"/>
    <xf numFmtId="9" fontId="8" fillId="0" borderId="1" pivotButton="0" quotePrefix="0" xfId="0"/>
    <xf numFmtId="165" fontId="8" fillId="0" borderId="1" pivotButton="0" quotePrefix="0" xfId="0"/>
    <xf numFmtId="0" fontId="14" fillId="5" borderId="1" pivotButton="0" quotePrefix="0" xfId="0"/>
    <xf numFmtId="9" fontId="14" fillId="5" borderId="1" pivotButton="0" quotePrefix="0" xfId="0"/>
    <xf numFmtId="0" fontId="13" fillId="0" borderId="3" applyAlignment="1" pivotButton="0" quotePrefix="0" xfId="0">
      <alignment vertical="center" wrapText="1"/>
    </xf>
    <xf numFmtId="0" fontId="14" fillId="0" borderId="1" pivotButton="0" quotePrefix="0" xfId="0"/>
    <xf numFmtId="0" fontId="14" fillId="0" borderId="1" applyAlignment="1" pivotButton="0" quotePrefix="0" xfId="0">
      <alignment vertical="top" wrapText="1"/>
    </xf>
    <xf numFmtId="3" fontId="8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17" fillId="0" borderId="0" pivotButton="0" quotePrefix="0" xfId="0"/>
  </cellXfs>
  <cellStyles count="1">
    <cellStyle name="Normal" xfId="0" builtinId="0" hidden="0"/>
  </cellStyles>
  <dxfs count="11">
    <dxf>
      <font>
        <name val="Arial"/>
        <b val="1"/>
        <color rgb="00374151"/>
      </font>
      <fill>
        <patternFill patternType="solid">
          <fgColor rgb="00F3F4F6"/>
          <bgColor rgb="00F3F4F6"/>
        </patternFill>
      </fill>
    </dxf>
    <dxf>
      <font>
        <name val="Arial"/>
        <b val="1"/>
        <color rgb="0092400E"/>
      </font>
      <fill>
        <patternFill patternType="solid">
          <fgColor rgb="00FEF3C7"/>
          <bgColor rgb="00FEF3C7"/>
        </patternFill>
      </fill>
    </dxf>
    <dxf>
      <font>
        <name val="Arial"/>
        <b val="1"/>
        <color rgb="001E40AF"/>
      </font>
      <fill>
        <patternFill patternType="solid">
          <fgColor rgb="00DBEAFE"/>
          <bgColor rgb="00DBEAFE"/>
        </patternFill>
      </fill>
    </dxf>
    <dxf>
      <font>
        <name val="Arial"/>
        <b val="1"/>
        <color rgb="005B21B6"/>
      </font>
      <fill>
        <patternFill patternType="solid">
          <fgColor rgb="00EDE9FE"/>
          <bgColor rgb="00EDE9FE"/>
        </patternFill>
      </fill>
    </dxf>
    <dxf>
      <font>
        <name val="Arial"/>
        <b val="1"/>
        <color rgb="00065F46"/>
      </font>
      <fill>
        <patternFill patternType="solid">
          <fgColor rgb="00D1FAE5"/>
          <bgColor rgb="00D1FAE5"/>
        </patternFill>
      </fill>
    </dxf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EE2E2"/>
          <bgColor rgb="00FEE2E2"/>
        </patternFill>
      </fill>
    </dxf>
    <dxf>
      <font>
        <name val="Arial"/>
        <color rgb="00D1D5DB"/>
      </font>
      <fill>
        <patternFill patternType="solid">
          <fgColor rgb="00F9FAFB"/>
          <bgColor rgb="00F9FAFB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E8F0FD"/>
          <bgColor rgb="00E8F0FD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57150</colOff>
      <row>0</row>
      <rowOff>123825</rowOff>
    </from>
    <ext cx="1066800" cy="295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57150</colOff>
      <row>0</row>
      <rowOff>123825</rowOff>
    </from>
    <ext cx="1066800" cy="295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57150</colOff>
      <row>0</row>
      <rowOff>123825</rowOff>
    </from>
    <ext cx="1066800" cy="295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57150</colOff>
      <row>0</row>
      <rowOff>123825</rowOff>
    </from>
    <ext cx="1066800" cy="295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57150</colOff>
      <row>0</row>
      <rowOff>123825</rowOff>
    </from>
    <ext cx="1066800" cy="295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hopperhq.com/" TargetMode="External" Id="rId1"/><Relationship Type="http://schemas.openxmlformats.org/officeDocument/2006/relationships/hyperlink" Target="https://www.hopperhq.com/tools/content-planner/" TargetMode="External" Id="rId2"/><Relationship Type="http://schemas.openxmlformats.org/officeDocument/2006/relationships/hyperlink" Target="https://help.hopperhq.com/en/articles/8999825-csv-bulk-upload" TargetMode="External" Id="rId3"/><Relationship Type="http://schemas.openxmlformats.org/officeDocument/2006/relationships/hyperlink" Target="https://www.hopperhq.com/go-start/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www.hopperhq.com/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hopperhq.com/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hopperhq.com/" TargetMode="External" Id="rId1"/><Relationship Type="http://schemas.openxmlformats.org/officeDocument/2006/relationships/drawing" Target="/xl/drawings/drawing4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hopperhq.com/" TargetMode="External" Id="rId1"/><Relationship Type="http://schemas.openxmlformats.org/officeDocument/2006/relationships/hyperlink" Target="https://help.instagram.com/" TargetMode="External" Id="rId2"/><Relationship Type="http://schemas.openxmlformats.org/officeDocument/2006/relationships/hyperlink" Target="https://www.facebook.com/business/help" TargetMode="External" Id="rId3"/><Relationship Type="http://schemas.openxmlformats.org/officeDocument/2006/relationships/hyperlink" Target="https://help.x.com/en/using-x/how-to-post" TargetMode="External" Id="rId4"/><Relationship Type="http://schemas.openxmlformats.org/officeDocument/2006/relationships/hyperlink" Target="https://www.linkedin.com/help/linkedin" TargetMode="External" Id="rId5"/><Relationship Type="http://schemas.openxmlformats.org/officeDocument/2006/relationships/hyperlink" Target="https://support.tiktok.com/" TargetMode="External" Id="rId6"/><Relationship Type="http://schemas.openxmlformats.org/officeDocument/2006/relationships/hyperlink" Target="https://support.google.com/youtube/answer/57404" TargetMode="External" Id="rId7"/><Relationship Type="http://schemas.openxmlformats.org/officeDocument/2006/relationships/hyperlink" Target="https://help.pinterest.com/" TargetMode="External" Id="rId8"/><Relationship Type="http://schemas.openxmlformats.org/officeDocument/2006/relationships/hyperlink" Target="https://help.instagram.com/" TargetMode="External" Id="rId9"/><Relationship Type="http://schemas.openxmlformats.org/officeDocument/2006/relationships/hyperlink" Target="https://bsky.social/about/faq" TargetMode="External" Id="rId10"/><Relationship Type="http://schemas.openxmlformats.org/officeDocument/2006/relationships/drawing" Target="/xl/drawings/drawing5.xml" Id="rId11"/></Relationships>
</file>

<file path=xl/worksheets/sheet1.xml><?xml version="1.0" encoding="utf-8"?>
<worksheet xmlns="http://schemas.openxmlformats.org/spreadsheetml/2006/main">
  <sheetPr>
    <tabColor rgb="004C88F2"/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0" customWidth="1" min="3" max="3"/>
  </cols>
  <sheetData>
    <row r="1" ht="42" customHeight="1">
      <c r="A1" s="1" t="n"/>
      <c r="B1" s="1" t="n"/>
      <c r="C1" s="2" t="inlineStr">
        <is>
          <t>hopperhq.com</t>
        </is>
      </c>
    </row>
    <row r="2" ht="5" customHeight="1">
      <c r="A2" s="3" t="n"/>
      <c r="B2" s="3" t="n"/>
      <c r="C2" s="3" t="n"/>
    </row>
    <row r="3" ht="32" customHeight="1">
      <c r="B3" s="4" t="inlineStr">
        <is>
          <t>Social Media Content Calendar</t>
        </is>
      </c>
    </row>
    <row r="4">
      <c r="B4" s="5" t="inlineStr">
        <is>
          <t>A free template from Hopper HQ. Plan every post, keep your content mix balanced, and spot gaps before they happen.</t>
        </is>
      </c>
    </row>
    <row r="6" ht="48" customHeight="1">
      <c r="B6" s="6" t="inlineStr">
        <is>
          <t>1. Set up your pillars</t>
        </is>
      </c>
      <c r="C6" s="7" t="inlineStr">
        <is>
          <t>Open Content mix. Rename the pillars to fit your brand and set a target share for each.</t>
        </is>
      </c>
    </row>
    <row r="7" ht="48" customHeight="1">
      <c r="B7" s="6" t="inlineStr">
        <is>
          <t>2. Plan your posts</t>
        </is>
      </c>
      <c r="C7" s="7" t="inlineStr">
        <is>
          <t>Open Content calendar. Add one row per post: date, time, platform, pillar and your idea. Write the caption when you're ready. The Characters column turns red if you go over that platform's limit.</t>
        </is>
      </c>
    </row>
    <row r="8" ht="48" customHeight="1">
      <c r="B8" s="6" t="inlineStr">
        <is>
          <t>3. Check the month</t>
        </is>
      </c>
      <c r="C8" s="7" t="inlineStr">
        <is>
          <t>Open Month view and pick a month. Days with no posts are highlighted so you can fill the gaps.</t>
        </is>
      </c>
    </row>
    <row r="9" ht="48" customHeight="1">
      <c r="B9" s="6" t="inlineStr">
        <is>
          <t>4. Send it to Hopper HQ</t>
        </is>
      </c>
      <c r="C9" s="7" t="inlineStr">
        <is>
          <t>Set a post's Status to Ready once its caption, date, time and media are final. Pick a platform below, then open Hopper HQ import, save that tab as CSV and upload it in Hopper HQ under Create &gt; Create Post &gt; CSV Import.</t>
        </is>
      </c>
    </row>
    <row r="11">
      <c r="B11" s="8" t="inlineStr">
        <is>
          <t>Export platform</t>
        </is>
      </c>
      <c r="C11" s="9" t="inlineStr">
        <is>
          <t>Instagram</t>
        </is>
      </c>
    </row>
    <row r="12">
      <c r="C12" s="10" t="inlineStr">
        <is>
          <t>Hopper HQ's CSV import supports Instagram, Facebook, X (Twitter), LinkedIn, YouTube and TikTok, up to 350 posts per file.</t>
        </is>
      </c>
    </row>
    <row r="14">
      <c r="B14" s="8" t="inlineStr">
        <is>
          <t>How to read this file</t>
        </is>
      </c>
    </row>
    <row r="15">
      <c r="B15" s="11" t="inlineStr">
        <is>
          <t>Pale blue cells</t>
        </is>
      </c>
      <c r="C15" s="12" t="inlineStr">
        <is>
          <t>are yours to fill in. Everything else updates on its own.</t>
        </is>
      </c>
    </row>
    <row r="16">
      <c r="B16" s="12" t="inlineStr">
        <is>
          <t>Example rows</t>
        </is>
      </c>
      <c r="C16" s="12" t="inlineStr">
        <is>
          <t>The first two calendar rows are examples. Overwrite or delete them.</t>
        </is>
      </c>
    </row>
    <row r="18">
      <c r="B18" s="8" t="inlineStr">
        <is>
          <t>Plan faster</t>
        </is>
      </c>
    </row>
    <row r="19">
      <c r="B19" s="13" t="inlineStr">
        <is>
          <t>Free content planner</t>
        </is>
      </c>
      <c r="C19" s="12" t="inlineStr">
        <is>
          <t>Get a two-week plan tailored to your brand in 30 seconds.</t>
        </is>
      </c>
    </row>
    <row r="20">
      <c r="B20" s="13" t="inlineStr">
        <is>
          <t>CSV import guide</t>
        </is>
      </c>
      <c r="C20" s="12" t="inlineStr">
        <is>
          <t>How Hopper HQ's CSV bulk upload works, including media links.</t>
        </is>
      </c>
    </row>
    <row r="22" ht="36" customHeight="1">
      <c r="B22" s="14" t="inlineStr">
        <is>
          <t>Skip the copy and paste. Hopper HQ schedules every post on this calendar for you, across all your networks, from one visual calendar.</t>
        </is>
      </c>
    </row>
    <row r="23" ht="26" customHeight="1">
      <c r="B23" s="15" t="inlineStr">
        <is>
          <t>Start your free 14-day trial</t>
        </is>
      </c>
      <c r="C23" s="16" t="inlineStr">
        <is>
          <t>14-day free trial · Cancel anytime</t>
        </is>
      </c>
    </row>
  </sheetData>
  <mergeCells count="1">
    <mergeCell ref="B22:C22"/>
  </mergeCells>
  <dataValidations count="1">
    <dataValidation sqref="C11" showDropDown="0" showInputMessage="1" showErrorMessage="0" allowBlank="1" promptTitle="Pick one" prompt="Hopper HQ import builds a file for this platform. Each CSV upload goes to one social profile." type="list">
      <formula1>"Instagram,Facebook,X (Twitter),LinkedIn,YouTube,TikTok"</formula1>
    </dataValidation>
  </dataValidations>
  <hyperlinks>
    <hyperlink xmlns:r="http://schemas.openxmlformats.org/officeDocument/2006/relationships" ref="C1" r:id="rId1"/>
    <hyperlink xmlns:r="http://schemas.openxmlformats.org/officeDocument/2006/relationships" ref="B19" r:id="rId2"/>
    <hyperlink xmlns:r="http://schemas.openxmlformats.org/officeDocument/2006/relationships" ref="B20" r:id="rId3"/>
    <hyperlink xmlns:r="http://schemas.openxmlformats.org/officeDocument/2006/relationships" ref="B23" r:id="rId4"/>
  </hyperlinks>
  <pageMargins left="0.75" right="0.75" top="1" bottom="1" header="0.5" footer="0.5"/>
  <pageSetup orientation="landscape" fitToHeight="0" fitToWidth="1"/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tabColor rgb="004C88F2"/>
    <outlinePr summaryBelow="1" summaryRight="1"/>
    <pageSetUpPr fitToPage="1"/>
  </sheetPr>
  <dimension ref="A1:P50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6" customWidth="1" min="3" max="3"/>
    <col width="14" customWidth="1" min="4" max="4"/>
    <col width="13" customWidth="1" min="5" max="5"/>
    <col width="13" customWidth="1" min="6" max="6"/>
    <col width="30" customWidth="1" min="7" max="7"/>
    <col width="50" customWidth="1" min="8" max="8"/>
    <col width="11" customWidth="1" min="9" max="9"/>
    <col width="9" customWidth="1" min="10" max="10"/>
    <col width="26" customWidth="1" min="11" max="11"/>
    <col width="28" customWidth="1" min="12" max="12"/>
    <col width="11" customWidth="1" min="13" max="13"/>
    <col width="12" customWidth="1" min="14" max="14"/>
    <col width="30" customWidth="1" min="15" max="15"/>
    <col width="9" customWidth="1" min="16" max="16"/>
  </cols>
  <sheetData>
    <row r="1" ht="4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2" t="inlineStr">
        <is>
          <t>hopperhq.com</t>
        </is>
      </c>
    </row>
    <row r="2" ht="5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 ht="26" customHeight="1">
      <c r="A3" s="17" t="inlineStr">
        <is>
          <t>Content calendar</t>
        </is>
      </c>
    </row>
    <row r="4">
      <c r="A4" s="16" t="inlineStr">
        <is>
          <t>One row per post. Fill in the pale blue columns; Day, Characters and Limit update on their own. Every post headed to Hopper HQ needs a date and a time.</t>
        </is>
      </c>
      <c r="P4" s="18" t="inlineStr">
        <is>
          <t>Export # numbers the Ready posts for the export platform.</t>
        </is>
      </c>
    </row>
    <row r="6" ht="30" customHeight="1">
      <c r="A6" s="19" t="inlineStr">
        <is>
          <t>Date</t>
        </is>
      </c>
      <c r="B6" s="19" t="inlineStr">
        <is>
          <t>Time</t>
        </is>
      </c>
      <c r="C6" s="19" t="inlineStr">
        <is>
          <t>Day</t>
        </is>
      </c>
      <c r="D6" s="19" t="inlineStr">
        <is>
          <t>Platform</t>
        </is>
      </c>
      <c r="E6" s="19" t="inlineStr">
        <is>
          <t>Content type</t>
        </is>
      </c>
      <c r="F6" s="19" t="inlineStr">
        <is>
          <t>Pillar</t>
        </is>
      </c>
      <c r="G6" s="19" t="inlineStr">
        <is>
          <t>Idea / topic</t>
        </is>
      </c>
      <c r="H6" s="19" t="inlineStr">
        <is>
          <t>Caption</t>
        </is>
      </c>
      <c r="I6" s="19" t="inlineStr">
        <is>
          <t>Characters</t>
        </is>
      </c>
      <c r="J6" s="19" t="inlineStr">
        <is>
          <t>Limit</t>
        </is>
      </c>
      <c r="K6" s="19" t="inlineStr">
        <is>
          <t>First comment</t>
        </is>
      </c>
      <c r="L6" s="19" t="inlineStr">
        <is>
          <t>Media link(s)</t>
        </is>
      </c>
      <c r="M6" s="19" t="inlineStr">
        <is>
          <t>Owner</t>
        </is>
      </c>
      <c r="N6" s="19" t="inlineStr">
        <is>
          <t>Status</t>
        </is>
      </c>
      <c r="O6" s="19" t="inlineStr">
        <is>
          <t>Notes</t>
        </is>
      </c>
      <c r="P6" s="19" t="inlineStr">
        <is>
          <t>Export #</t>
        </is>
      </c>
    </row>
    <row r="7">
      <c r="A7" s="20" t="n">
        <v>46328</v>
      </c>
      <c r="B7" s="21" t="n">
        <v>0.375</v>
      </c>
      <c r="C7" s="22">
        <f>IF(A7="","",CHOOSE(WEEKDAY(A7,2),"Mon","Tue","Wed","Thu","Fri","Sat","Sun"))</f>
        <v/>
      </c>
      <c r="D7" s="23" t="inlineStr">
        <is>
          <t>Instagram</t>
        </is>
      </c>
      <c r="E7" s="23" t="inlineStr">
        <is>
          <t>Carousel</t>
        </is>
      </c>
      <c r="F7" s="23" t="inlineStr">
        <is>
          <t>Educate</t>
        </is>
      </c>
      <c r="G7" s="24" t="inlineStr">
        <is>
          <t>5 ways to batch a month of content in one afternoon</t>
        </is>
      </c>
      <c r="H7" s="24" t="inlineStr">
        <is>
          <t>Batching saves hours. Here's how we plan a whole month in one sitting. Swipe for the five steps, and save this for your next planning day.</t>
        </is>
      </c>
      <c r="I7" s="22">
        <f>IF(H7="","",LEN(H7))</f>
        <v/>
      </c>
      <c r="J7" s="25">
        <f>IF(D7="","",IFERROR(INDEX(PlatformLimits,MATCH(D7,PlatformNames,0)),""))</f>
        <v/>
      </c>
      <c r="K7" s="24" t="inlineStr">
        <is>
          <t>Which step do you already do? Tell us below.</t>
        </is>
      </c>
      <c r="L7" s="23" t="inlineStr">
        <is>
          <t>https://example.com/carousel-1.jpg;https://example.com/carousel-2.jpg</t>
        </is>
      </c>
      <c r="M7" s="23" t="inlineStr">
        <is>
          <t>Sam</t>
        </is>
      </c>
      <c r="N7" s="23" t="inlineStr">
        <is>
          <t>Ready</t>
        </is>
      </c>
      <c r="O7" s="24" t="inlineStr">
        <is>
          <t>Reuse slide 3 as a Story on Wednesday.</t>
        </is>
      </c>
      <c r="P7" s="22">
        <f>IF(AND(D7=ExportPlatform,N7="Ready",A7&lt;&gt;""),COUNTIFS($D$7:D7,ExportPlatform,$N$7:N7,"Ready",$A$7:A7,"&lt;&gt;"),"")</f>
        <v/>
      </c>
    </row>
    <row r="8">
      <c r="A8" s="20" t="n">
        <v>46330</v>
      </c>
      <c r="B8" s="21" t="n">
        <v>0.5208333333333334</v>
      </c>
      <c r="C8" s="22">
        <f>IF(A8="","",CHOOSE(WEEKDAY(A8,2),"Mon","Tue","Wed","Thu","Fri","Sat","Sun"))</f>
        <v/>
      </c>
      <c r="D8" s="23" t="inlineStr">
        <is>
          <t>LinkedIn</t>
        </is>
      </c>
      <c r="E8" s="23" t="inlineStr">
        <is>
          <t>Text</t>
        </is>
      </c>
      <c r="F8" s="23" t="inlineStr">
        <is>
          <t>Community</t>
        </is>
      </c>
      <c r="G8" s="24" t="inlineStr">
        <is>
          <t>What we learned from our first 100 customers</t>
        </is>
      </c>
      <c r="H8" s="24" t="inlineStr">
        <is>
          <t>Our first 100 customers taught us more than any survey. Three lessons that changed how we work, and one we're still figuring out.</t>
        </is>
      </c>
      <c r="I8" s="22">
        <f>IF(H8="","",LEN(H8))</f>
        <v/>
      </c>
      <c r="J8" s="25">
        <f>IF(D8="","",IFERROR(INDEX(PlatformLimits,MATCH(D8,PlatformNames,0)),""))</f>
        <v/>
      </c>
      <c r="K8" s="24" t="inlineStr"/>
      <c r="L8" s="23" t="inlineStr"/>
      <c r="M8" s="23" t="inlineStr">
        <is>
          <t>Alex</t>
        </is>
      </c>
      <c r="N8" s="23" t="inlineStr">
        <is>
          <t>Drafting</t>
        </is>
      </c>
      <c r="O8" s="24" t="inlineStr">
        <is>
          <t>Add the customer quote once approved.</t>
        </is>
      </c>
      <c r="P8" s="22">
        <f>IF(AND(D8=ExportPlatform,N8="Ready",A8&lt;&gt;""),COUNTIFS($D$7:D8,ExportPlatform,$N$7:N8,"Ready",$A$7:A8,"&lt;&gt;"),"")</f>
        <v/>
      </c>
    </row>
    <row r="9">
      <c r="A9" s="20" t="n"/>
      <c r="B9" s="21" t="n"/>
      <c r="C9" s="22">
        <f>IF(A9="","",CHOOSE(WEEKDAY(A9,2),"Mon","Tue","Wed","Thu","Fri","Sat","Sun"))</f>
        <v/>
      </c>
      <c r="D9" s="23" t="n"/>
      <c r="E9" s="23" t="n"/>
      <c r="F9" s="23" t="n"/>
      <c r="G9" s="24" t="n"/>
      <c r="H9" s="24" t="n"/>
      <c r="I9" s="22">
        <f>IF(H9="","",LEN(H9))</f>
        <v/>
      </c>
      <c r="J9" s="25">
        <f>IF(D9="","",IFERROR(INDEX(PlatformLimits,MATCH(D9,PlatformNames,0)),""))</f>
        <v/>
      </c>
      <c r="K9" s="24" t="n"/>
      <c r="L9" s="23" t="n"/>
      <c r="M9" s="23" t="n"/>
      <c r="N9" s="23" t="n"/>
      <c r="O9" s="24" t="n"/>
      <c r="P9" s="22">
        <f>IF(AND(D9=ExportPlatform,N9="Ready",A9&lt;&gt;""),COUNTIFS($D$7:D9,ExportPlatform,$N$7:N9,"Ready",$A$7:A9,"&lt;&gt;"),"")</f>
        <v/>
      </c>
    </row>
    <row r="10">
      <c r="A10" s="20" t="n"/>
      <c r="B10" s="21" t="n"/>
      <c r="C10" s="22">
        <f>IF(A10="","",CHOOSE(WEEKDAY(A10,2),"Mon","Tue","Wed","Thu","Fri","Sat","Sun"))</f>
        <v/>
      </c>
      <c r="D10" s="23" t="n"/>
      <c r="E10" s="23" t="n"/>
      <c r="F10" s="23" t="n"/>
      <c r="G10" s="24" t="n"/>
      <c r="H10" s="24" t="n"/>
      <c r="I10" s="22">
        <f>IF(H10="","",LEN(H10))</f>
        <v/>
      </c>
      <c r="J10" s="25">
        <f>IF(D10="","",IFERROR(INDEX(PlatformLimits,MATCH(D10,PlatformNames,0)),""))</f>
        <v/>
      </c>
      <c r="K10" s="24" t="n"/>
      <c r="L10" s="23" t="n"/>
      <c r="M10" s="23" t="n"/>
      <c r="N10" s="23" t="n"/>
      <c r="O10" s="24" t="n"/>
      <c r="P10" s="22">
        <f>IF(AND(D10=ExportPlatform,N10="Ready",A10&lt;&gt;""),COUNTIFS($D$7:D10,ExportPlatform,$N$7:N10,"Ready",$A$7:A10,"&lt;&gt;"),"")</f>
        <v/>
      </c>
    </row>
    <row r="11">
      <c r="A11" s="20" t="n"/>
      <c r="B11" s="21" t="n"/>
      <c r="C11" s="22">
        <f>IF(A11="","",CHOOSE(WEEKDAY(A11,2),"Mon","Tue","Wed","Thu","Fri","Sat","Sun"))</f>
        <v/>
      </c>
      <c r="D11" s="23" t="n"/>
      <c r="E11" s="23" t="n"/>
      <c r="F11" s="23" t="n"/>
      <c r="G11" s="24" t="n"/>
      <c r="H11" s="24" t="n"/>
      <c r="I11" s="22">
        <f>IF(H11="","",LEN(H11))</f>
        <v/>
      </c>
      <c r="J11" s="25">
        <f>IF(D11="","",IFERROR(INDEX(PlatformLimits,MATCH(D11,PlatformNames,0)),""))</f>
        <v/>
      </c>
      <c r="K11" s="24" t="n"/>
      <c r="L11" s="23" t="n"/>
      <c r="M11" s="23" t="n"/>
      <c r="N11" s="23" t="n"/>
      <c r="O11" s="24" t="n"/>
      <c r="P11" s="22">
        <f>IF(AND(D11=ExportPlatform,N11="Ready",A11&lt;&gt;""),COUNTIFS($D$7:D11,ExportPlatform,$N$7:N11,"Ready",$A$7:A11,"&lt;&gt;"),"")</f>
        <v/>
      </c>
    </row>
    <row r="12">
      <c r="A12" s="20" t="n"/>
      <c r="B12" s="21" t="n"/>
      <c r="C12" s="22">
        <f>IF(A12="","",CHOOSE(WEEKDAY(A12,2),"Mon","Tue","Wed","Thu","Fri","Sat","Sun"))</f>
        <v/>
      </c>
      <c r="D12" s="23" t="n"/>
      <c r="E12" s="23" t="n"/>
      <c r="F12" s="23" t="n"/>
      <c r="G12" s="24" t="n"/>
      <c r="H12" s="24" t="n"/>
      <c r="I12" s="22">
        <f>IF(H12="","",LEN(H12))</f>
        <v/>
      </c>
      <c r="J12" s="25">
        <f>IF(D12="","",IFERROR(INDEX(PlatformLimits,MATCH(D12,PlatformNames,0)),""))</f>
        <v/>
      </c>
      <c r="K12" s="24" t="n"/>
      <c r="L12" s="23" t="n"/>
      <c r="M12" s="23" t="n"/>
      <c r="N12" s="23" t="n"/>
      <c r="O12" s="24" t="n"/>
      <c r="P12" s="22">
        <f>IF(AND(D12=ExportPlatform,N12="Ready",A12&lt;&gt;""),COUNTIFS($D$7:D12,ExportPlatform,$N$7:N12,"Ready",$A$7:A12,"&lt;&gt;"),"")</f>
        <v/>
      </c>
    </row>
    <row r="13">
      <c r="A13" s="20" t="n"/>
      <c r="B13" s="21" t="n"/>
      <c r="C13" s="22">
        <f>IF(A13="","",CHOOSE(WEEKDAY(A13,2),"Mon","Tue","Wed","Thu","Fri","Sat","Sun"))</f>
        <v/>
      </c>
      <c r="D13" s="23" t="n"/>
      <c r="E13" s="23" t="n"/>
      <c r="F13" s="23" t="n"/>
      <c r="G13" s="24" t="n"/>
      <c r="H13" s="24" t="n"/>
      <c r="I13" s="22">
        <f>IF(H13="","",LEN(H13))</f>
        <v/>
      </c>
      <c r="J13" s="25">
        <f>IF(D13="","",IFERROR(INDEX(PlatformLimits,MATCH(D13,PlatformNames,0)),""))</f>
        <v/>
      </c>
      <c r="K13" s="24" t="n"/>
      <c r="L13" s="23" t="n"/>
      <c r="M13" s="23" t="n"/>
      <c r="N13" s="23" t="n"/>
      <c r="O13" s="24" t="n"/>
      <c r="P13" s="22">
        <f>IF(AND(D13=ExportPlatform,N13="Ready",A13&lt;&gt;""),COUNTIFS($D$7:D13,ExportPlatform,$N$7:N13,"Ready",$A$7:A13,"&lt;&gt;"),"")</f>
        <v/>
      </c>
    </row>
    <row r="14">
      <c r="A14" s="20" t="n"/>
      <c r="B14" s="21" t="n"/>
      <c r="C14" s="22">
        <f>IF(A14="","",CHOOSE(WEEKDAY(A14,2),"Mon","Tue","Wed","Thu","Fri","Sat","Sun"))</f>
        <v/>
      </c>
      <c r="D14" s="23" t="n"/>
      <c r="E14" s="23" t="n"/>
      <c r="F14" s="23" t="n"/>
      <c r="G14" s="24" t="n"/>
      <c r="H14" s="24" t="n"/>
      <c r="I14" s="22">
        <f>IF(H14="","",LEN(H14))</f>
        <v/>
      </c>
      <c r="J14" s="25">
        <f>IF(D14="","",IFERROR(INDEX(PlatformLimits,MATCH(D14,PlatformNames,0)),""))</f>
        <v/>
      </c>
      <c r="K14" s="24" t="n"/>
      <c r="L14" s="23" t="n"/>
      <c r="M14" s="23" t="n"/>
      <c r="N14" s="23" t="n"/>
      <c r="O14" s="24" t="n"/>
      <c r="P14" s="22">
        <f>IF(AND(D14=ExportPlatform,N14="Ready",A14&lt;&gt;""),COUNTIFS($D$7:D14,ExportPlatform,$N$7:N14,"Ready",$A$7:A14,"&lt;&gt;"),"")</f>
        <v/>
      </c>
    </row>
    <row r="15">
      <c r="A15" s="20" t="n"/>
      <c r="B15" s="21" t="n"/>
      <c r="C15" s="22">
        <f>IF(A15="","",CHOOSE(WEEKDAY(A15,2),"Mon","Tue","Wed","Thu","Fri","Sat","Sun"))</f>
        <v/>
      </c>
      <c r="D15" s="23" t="n"/>
      <c r="E15" s="23" t="n"/>
      <c r="F15" s="23" t="n"/>
      <c r="G15" s="24" t="n"/>
      <c r="H15" s="24" t="n"/>
      <c r="I15" s="22">
        <f>IF(H15="","",LEN(H15))</f>
        <v/>
      </c>
      <c r="J15" s="25">
        <f>IF(D15="","",IFERROR(INDEX(PlatformLimits,MATCH(D15,PlatformNames,0)),""))</f>
        <v/>
      </c>
      <c r="K15" s="24" t="n"/>
      <c r="L15" s="23" t="n"/>
      <c r="M15" s="23" t="n"/>
      <c r="N15" s="23" t="n"/>
      <c r="O15" s="24" t="n"/>
      <c r="P15" s="22">
        <f>IF(AND(D15=ExportPlatform,N15="Ready",A15&lt;&gt;""),COUNTIFS($D$7:D15,ExportPlatform,$N$7:N15,"Ready",$A$7:A15,"&lt;&gt;"),"")</f>
        <v/>
      </c>
    </row>
    <row r="16">
      <c r="A16" s="20" t="n"/>
      <c r="B16" s="21" t="n"/>
      <c r="C16" s="22">
        <f>IF(A16="","",CHOOSE(WEEKDAY(A16,2),"Mon","Tue","Wed","Thu","Fri","Sat","Sun"))</f>
        <v/>
      </c>
      <c r="D16" s="23" t="n"/>
      <c r="E16" s="23" t="n"/>
      <c r="F16" s="23" t="n"/>
      <c r="G16" s="24" t="n"/>
      <c r="H16" s="24" t="n"/>
      <c r="I16" s="22">
        <f>IF(H16="","",LEN(H16))</f>
        <v/>
      </c>
      <c r="J16" s="25">
        <f>IF(D16="","",IFERROR(INDEX(PlatformLimits,MATCH(D16,PlatformNames,0)),""))</f>
        <v/>
      </c>
      <c r="K16" s="24" t="n"/>
      <c r="L16" s="23" t="n"/>
      <c r="M16" s="23" t="n"/>
      <c r="N16" s="23" t="n"/>
      <c r="O16" s="24" t="n"/>
      <c r="P16" s="22">
        <f>IF(AND(D16=ExportPlatform,N16="Ready",A16&lt;&gt;""),COUNTIFS($D$7:D16,ExportPlatform,$N$7:N16,"Ready",$A$7:A16,"&lt;&gt;"),"")</f>
        <v/>
      </c>
    </row>
    <row r="17">
      <c r="A17" s="20" t="n"/>
      <c r="B17" s="21" t="n"/>
      <c r="C17" s="22">
        <f>IF(A17="","",CHOOSE(WEEKDAY(A17,2),"Mon","Tue","Wed","Thu","Fri","Sat","Sun"))</f>
        <v/>
      </c>
      <c r="D17" s="23" t="n"/>
      <c r="E17" s="23" t="n"/>
      <c r="F17" s="23" t="n"/>
      <c r="G17" s="24" t="n"/>
      <c r="H17" s="24" t="n"/>
      <c r="I17" s="22">
        <f>IF(H17="","",LEN(H17))</f>
        <v/>
      </c>
      <c r="J17" s="25">
        <f>IF(D17="","",IFERROR(INDEX(PlatformLimits,MATCH(D17,PlatformNames,0)),""))</f>
        <v/>
      </c>
      <c r="K17" s="24" t="n"/>
      <c r="L17" s="23" t="n"/>
      <c r="M17" s="23" t="n"/>
      <c r="N17" s="23" t="n"/>
      <c r="O17" s="24" t="n"/>
      <c r="P17" s="22">
        <f>IF(AND(D17=ExportPlatform,N17="Ready",A17&lt;&gt;""),COUNTIFS($D$7:D17,ExportPlatform,$N$7:N17,"Ready",$A$7:A17,"&lt;&gt;"),"")</f>
        <v/>
      </c>
    </row>
    <row r="18">
      <c r="A18" s="20" t="n"/>
      <c r="B18" s="21" t="n"/>
      <c r="C18" s="22">
        <f>IF(A18="","",CHOOSE(WEEKDAY(A18,2),"Mon","Tue","Wed","Thu","Fri","Sat","Sun"))</f>
        <v/>
      </c>
      <c r="D18" s="23" t="n"/>
      <c r="E18" s="23" t="n"/>
      <c r="F18" s="23" t="n"/>
      <c r="G18" s="24" t="n"/>
      <c r="H18" s="24" t="n"/>
      <c r="I18" s="22">
        <f>IF(H18="","",LEN(H18))</f>
        <v/>
      </c>
      <c r="J18" s="25">
        <f>IF(D18="","",IFERROR(INDEX(PlatformLimits,MATCH(D18,PlatformNames,0)),""))</f>
        <v/>
      </c>
      <c r="K18" s="24" t="n"/>
      <c r="L18" s="23" t="n"/>
      <c r="M18" s="23" t="n"/>
      <c r="N18" s="23" t="n"/>
      <c r="O18" s="24" t="n"/>
      <c r="P18" s="22">
        <f>IF(AND(D18=ExportPlatform,N18="Ready",A18&lt;&gt;""),COUNTIFS($D$7:D18,ExportPlatform,$N$7:N18,"Ready",$A$7:A18,"&lt;&gt;"),"")</f>
        <v/>
      </c>
    </row>
    <row r="19">
      <c r="A19" s="20" t="n"/>
      <c r="B19" s="21" t="n"/>
      <c r="C19" s="22">
        <f>IF(A19="","",CHOOSE(WEEKDAY(A19,2),"Mon","Tue","Wed","Thu","Fri","Sat","Sun"))</f>
        <v/>
      </c>
      <c r="D19" s="23" t="n"/>
      <c r="E19" s="23" t="n"/>
      <c r="F19" s="23" t="n"/>
      <c r="G19" s="24" t="n"/>
      <c r="H19" s="24" t="n"/>
      <c r="I19" s="22">
        <f>IF(H19="","",LEN(H19))</f>
        <v/>
      </c>
      <c r="J19" s="25">
        <f>IF(D19="","",IFERROR(INDEX(PlatformLimits,MATCH(D19,PlatformNames,0)),""))</f>
        <v/>
      </c>
      <c r="K19" s="24" t="n"/>
      <c r="L19" s="23" t="n"/>
      <c r="M19" s="23" t="n"/>
      <c r="N19" s="23" t="n"/>
      <c r="O19" s="24" t="n"/>
      <c r="P19" s="22">
        <f>IF(AND(D19=ExportPlatform,N19="Ready",A19&lt;&gt;""),COUNTIFS($D$7:D19,ExportPlatform,$N$7:N19,"Ready",$A$7:A19,"&lt;&gt;"),"")</f>
        <v/>
      </c>
    </row>
    <row r="20">
      <c r="A20" s="20" t="n"/>
      <c r="B20" s="21" t="n"/>
      <c r="C20" s="22">
        <f>IF(A20="","",CHOOSE(WEEKDAY(A20,2),"Mon","Tue","Wed","Thu","Fri","Sat","Sun"))</f>
        <v/>
      </c>
      <c r="D20" s="23" t="n"/>
      <c r="E20" s="23" t="n"/>
      <c r="F20" s="23" t="n"/>
      <c r="G20" s="24" t="n"/>
      <c r="H20" s="24" t="n"/>
      <c r="I20" s="22">
        <f>IF(H20="","",LEN(H20))</f>
        <v/>
      </c>
      <c r="J20" s="25">
        <f>IF(D20="","",IFERROR(INDEX(PlatformLimits,MATCH(D20,PlatformNames,0)),""))</f>
        <v/>
      </c>
      <c r="K20" s="24" t="n"/>
      <c r="L20" s="23" t="n"/>
      <c r="M20" s="23" t="n"/>
      <c r="N20" s="23" t="n"/>
      <c r="O20" s="24" t="n"/>
      <c r="P20" s="22">
        <f>IF(AND(D20=ExportPlatform,N20="Ready",A20&lt;&gt;""),COUNTIFS($D$7:D20,ExportPlatform,$N$7:N20,"Ready",$A$7:A20,"&lt;&gt;"),"")</f>
        <v/>
      </c>
    </row>
    <row r="21">
      <c r="A21" s="20" t="n"/>
      <c r="B21" s="21" t="n"/>
      <c r="C21" s="22">
        <f>IF(A21="","",CHOOSE(WEEKDAY(A21,2),"Mon","Tue","Wed","Thu","Fri","Sat","Sun"))</f>
        <v/>
      </c>
      <c r="D21" s="23" t="n"/>
      <c r="E21" s="23" t="n"/>
      <c r="F21" s="23" t="n"/>
      <c r="G21" s="24" t="n"/>
      <c r="H21" s="24" t="n"/>
      <c r="I21" s="22">
        <f>IF(H21="","",LEN(H21))</f>
        <v/>
      </c>
      <c r="J21" s="25">
        <f>IF(D21="","",IFERROR(INDEX(PlatformLimits,MATCH(D21,PlatformNames,0)),""))</f>
        <v/>
      </c>
      <c r="K21" s="24" t="n"/>
      <c r="L21" s="23" t="n"/>
      <c r="M21" s="23" t="n"/>
      <c r="N21" s="23" t="n"/>
      <c r="O21" s="24" t="n"/>
      <c r="P21" s="22">
        <f>IF(AND(D21=ExportPlatform,N21="Ready",A21&lt;&gt;""),COUNTIFS($D$7:D21,ExportPlatform,$N$7:N21,"Ready",$A$7:A21,"&lt;&gt;"),"")</f>
        <v/>
      </c>
    </row>
    <row r="22">
      <c r="A22" s="20" t="n"/>
      <c r="B22" s="21" t="n"/>
      <c r="C22" s="22">
        <f>IF(A22="","",CHOOSE(WEEKDAY(A22,2),"Mon","Tue","Wed","Thu","Fri","Sat","Sun"))</f>
        <v/>
      </c>
      <c r="D22" s="23" t="n"/>
      <c r="E22" s="23" t="n"/>
      <c r="F22" s="23" t="n"/>
      <c r="G22" s="24" t="n"/>
      <c r="H22" s="24" t="n"/>
      <c r="I22" s="22">
        <f>IF(H22="","",LEN(H22))</f>
        <v/>
      </c>
      <c r="J22" s="25">
        <f>IF(D22="","",IFERROR(INDEX(PlatformLimits,MATCH(D22,PlatformNames,0)),""))</f>
        <v/>
      </c>
      <c r="K22" s="24" t="n"/>
      <c r="L22" s="23" t="n"/>
      <c r="M22" s="23" t="n"/>
      <c r="N22" s="23" t="n"/>
      <c r="O22" s="24" t="n"/>
      <c r="P22" s="22">
        <f>IF(AND(D22=ExportPlatform,N22="Ready",A22&lt;&gt;""),COUNTIFS($D$7:D22,ExportPlatform,$N$7:N22,"Ready",$A$7:A22,"&lt;&gt;"),"")</f>
        <v/>
      </c>
    </row>
    <row r="23">
      <c r="A23" s="20" t="n"/>
      <c r="B23" s="21" t="n"/>
      <c r="C23" s="22">
        <f>IF(A23="","",CHOOSE(WEEKDAY(A23,2),"Mon","Tue","Wed","Thu","Fri","Sat","Sun"))</f>
        <v/>
      </c>
      <c r="D23" s="23" t="n"/>
      <c r="E23" s="23" t="n"/>
      <c r="F23" s="23" t="n"/>
      <c r="G23" s="24" t="n"/>
      <c r="H23" s="24" t="n"/>
      <c r="I23" s="22">
        <f>IF(H23="","",LEN(H23))</f>
        <v/>
      </c>
      <c r="J23" s="25">
        <f>IF(D23="","",IFERROR(INDEX(PlatformLimits,MATCH(D23,PlatformNames,0)),""))</f>
        <v/>
      </c>
      <c r="K23" s="24" t="n"/>
      <c r="L23" s="23" t="n"/>
      <c r="M23" s="23" t="n"/>
      <c r="N23" s="23" t="n"/>
      <c r="O23" s="24" t="n"/>
      <c r="P23" s="22">
        <f>IF(AND(D23=ExportPlatform,N23="Ready",A23&lt;&gt;""),COUNTIFS($D$7:D23,ExportPlatform,$N$7:N23,"Ready",$A$7:A23,"&lt;&gt;"),"")</f>
        <v/>
      </c>
    </row>
    <row r="24">
      <c r="A24" s="20" t="n"/>
      <c r="B24" s="21" t="n"/>
      <c r="C24" s="22">
        <f>IF(A24="","",CHOOSE(WEEKDAY(A24,2),"Mon","Tue","Wed","Thu","Fri","Sat","Sun"))</f>
        <v/>
      </c>
      <c r="D24" s="23" t="n"/>
      <c r="E24" s="23" t="n"/>
      <c r="F24" s="23" t="n"/>
      <c r="G24" s="24" t="n"/>
      <c r="H24" s="24" t="n"/>
      <c r="I24" s="22">
        <f>IF(H24="","",LEN(H24))</f>
        <v/>
      </c>
      <c r="J24" s="25">
        <f>IF(D24="","",IFERROR(INDEX(PlatformLimits,MATCH(D24,PlatformNames,0)),""))</f>
        <v/>
      </c>
      <c r="K24" s="24" t="n"/>
      <c r="L24" s="23" t="n"/>
      <c r="M24" s="23" t="n"/>
      <c r="N24" s="23" t="n"/>
      <c r="O24" s="24" t="n"/>
      <c r="P24" s="22">
        <f>IF(AND(D24=ExportPlatform,N24="Ready",A24&lt;&gt;""),COUNTIFS($D$7:D24,ExportPlatform,$N$7:N24,"Ready",$A$7:A24,"&lt;&gt;"),"")</f>
        <v/>
      </c>
    </row>
    <row r="25">
      <c r="A25" s="20" t="n"/>
      <c r="B25" s="21" t="n"/>
      <c r="C25" s="22">
        <f>IF(A25="","",CHOOSE(WEEKDAY(A25,2),"Mon","Tue","Wed","Thu","Fri","Sat","Sun"))</f>
        <v/>
      </c>
      <c r="D25" s="23" t="n"/>
      <c r="E25" s="23" t="n"/>
      <c r="F25" s="23" t="n"/>
      <c r="G25" s="24" t="n"/>
      <c r="H25" s="24" t="n"/>
      <c r="I25" s="22">
        <f>IF(H25="","",LEN(H25))</f>
        <v/>
      </c>
      <c r="J25" s="25">
        <f>IF(D25="","",IFERROR(INDEX(PlatformLimits,MATCH(D25,PlatformNames,0)),""))</f>
        <v/>
      </c>
      <c r="K25" s="24" t="n"/>
      <c r="L25" s="23" t="n"/>
      <c r="M25" s="23" t="n"/>
      <c r="N25" s="23" t="n"/>
      <c r="O25" s="24" t="n"/>
      <c r="P25" s="22">
        <f>IF(AND(D25=ExportPlatform,N25="Ready",A25&lt;&gt;""),COUNTIFS($D$7:D25,ExportPlatform,$N$7:N25,"Ready",$A$7:A25,"&lt;&gt;"),"")</f>
        <v/>
      </c>
    </row>
    <row r="26">
      <c r="A26" s="20" t="n"/>
      <c r="B26" s="21" t="n"/>
      <c r="C26" s="22">
        <f>IF(A26="","",CHOOSE(WEEKDAY(A26,2),"Mon","Tue","Wed","Thu","Fri","Sat","Sun"))</f>
        <v/>
      </c>
      <c r="D26" s="23" t="n"/>
      <c r="E26" s="23" t="n"/>
      <c r="F26" s="23" t="n"/>
      <c r="G26" s="24" t="n"/>
      <c r="H26" s="24" t="n"/>
      <c r="I26" s="22">
        <f>IF(H26="","",LEN(H26))</f>
        <v/>
      </c>
      <c r="J26" s="25">
        <f>IF(D26="","",IFERROR(INDEX(PlatformLimits,MATCH(D26,PlatformNames,0)),""))</f>
        <v/>
      </c>
      <c r="K26" s="24" t="n"/>
      <c r="L26" s="23" t="n"/>
      <c r="M26" s="23" t="n"/>
      <c r="N26" s="23" t="n"/>
      <c r="O26" s="24" t="n"/>
      <c r="P26" s="22">
        <f>IF(AND(D26=ExportPlatform,N26="Ready",A26&lt;&gt;""),COUNTIFS($D$7:D26,ExportPlatform,$N$7:N26,"Ready",$A$7:A26,"&lt;&gt;"),"")</f>
        <v/>
      </c>
    </row>
    <row r="27">
      <c r="A27" s="20" t="n"/>
      <c r="B27" s="21" t="n"/>
      <c r="C27" s="22">
        <f>IF(A27="","",CHOOSE(WEEKDAY(A27,2),"Mon","Tue","Wed","Thu","Fri","Sat","Sun"))</f>
        <v/>
      </c>
      <c r="D27" s="23" t="n"/>
      <c r="E27" s="23" t="n"/>
      <c r="F27" s="23" t="n"/>
      <c r="G27" s="24" t="n"/>
      <c r="H27" s="24" t="n"/>
      <c r="I27" s="22">
        <f>IF(H27="","",LEN(H27))</f>
        <v/>
      </c>
      <c r="J27" s="25">
        <f>IF(D27="","",IFERROR(INDEX(PlatformLimits,MATCH(D27,PlatformNames,0)),""))</f>
        <v/>
      </c>
      <c r="K27" s="24" t="n"/>
      <c r="L27" s="23" t="n"/>
      <c r="M27" s="23" t="n"/>
      <c r="N27" s="23" t="n"/>
      <c r="O27" s="24" t="n"/>
      <c r="P27" s="22">
        <f>IF(AND(D27=ExportPlatform,N27="Ready",A27&lt;&gt;""),COUNTIFS($D$7:D27,ExportPlatform,$N$7:N27,"Ready",$A$7:A27,"&lt;&gt;"),"")</f>
        <v/>
      </c>
    </row>
    <row r="28">
      <c r="A28" s="20" t="n"/>
      <c r="B28" s="21" t="n"/>
      <c r="C28" s="22">
        <f>IF(A28="","",CHOOSE(WEEKDAY(A28,2),"Mon","Tue","Wed","Thu","Fri","Sat","Sun"))</f>
        <v/>
      </c>
      <c r="D28" s="23" t="n"/>
      <c r="E28" s="23" t="n"/>
      <c r="F28" s="23" t="n"/>
      <c r="G28" s="24" t="n"/>
      <c r="H28" s="24" t="n"/>
      <c r="I28" s="22">
        <f>IF(H28="","",LEN(H28))</f>
        <v/>
      </c>
      <c r="J28" s="25">
        <f>IF(D28="","",IFERROR(INDEX(PlatformLimits,MATCH(D28,PlatformNames,0)),""))</f>
        <v/>
      </c>
      <c r="K28" s="24" t="n"/>
      <c r="L28" s="23" t="n"/>
      <c r="M28" s="23" t="n"/>
      <c r="N28" s="23" t="n"/>
      <c r="O28" s="24" t="n"/>
      <c r="P28" s="22">
        <f>IF(AND(D28=ExportPlatform,N28="Ready",A28&lt;&gt;""),COUNTIFS($D$7:D28,ExportPlatform,$N$7:N28,"Ready",$A$7:A28,"&lt;&gt;"),"")</f>
        <v/>
      </c>
    </row>
    <row r="29">
      <c r="A29" s="20" t="n"/>
      <c r="B29" s="21" t="n"/>
      <c r="C29" s="22">
        <f>IF(A29="","",CHOOSE(WEEKDAY(A29,2),"Mon","Tue","Wed","Thu","Fri","Sat","Sun"))</f>
        <v/>
      </c>
      <c r="D29" s="23" t="n"/>
      <c r="E29" s="23" t="n"/>
      <c r="F29" s="23" t="n"/>
      <c r="G29" s="24" t="n"/>
      <c r="H29" s="24" t="n"/>
      <c r="I29" s="22">
        <f>IF(H29="","",LEN(H29))</f>
        <v/>
      </c>
      <c r="J29" s="25">
        <f>IF(D29="","",IFERROR(INDEX(PlatformLimits,MATCH(D29,PlatformNames,0)),""))</f>
        <v/>
      </c>
      <c r="K29" s="24" t="n"/>
      <c r="L29" s="23" t="n"/>
      <c r="M29" s="23" t="n"/>
      <c r="N29" s="23" t="n"/>
      <c r="O29" s="24" t="n"/>
      <c r="P29" s="22">
        <f>IF(AND(D29=ExportPlatform,N29="Ready",A29&lt;&gt;""),COUNTIFS($D$7:D29,ExportPlatform,$N$7:N29,"Ready",$A$7:A29,"&lt;&gt;"),"")</f>
        <v/>
      </c>
    </row>
    <row r="30">
      <c r="A30" s="20" t="n"/>
      <c r="B30" s="21" t="n"/>
      <c r="C30" s="22">
        <f>IF(A30="","",CHOOSE(WEEKDAY(A30,2),"Mon","Tue","Wed","Thu","Fri","Sat","Sun"))</f>
        <v/>
      </c>
      <c r="D30" s="23" t="n"/>
      <c r="E30" s="23" t="n"/>
      <c r="F30" s="23" t="n"/>
      <c r="G30" s="24" t="n"/>
      <c r="H30" s="24" t="n"/>
      <c r="I30" s="22">
        <f>IF(H30="","",LEN(H30))</f>
        <v/>
      </c>
      <c r="J30" s="25">
        <f>IF(D30="","",IFERROR(INDEX(PlatformLimits,MATCH(D30,PlatformNames,0)),""))</f>
        <v/>
      </c>
      <c r="K30" s="24" t="n"/>
      <c r="L30" s="23" t="n"/>
      <c r="M30" s="23" t="n"/>
      <c r="N30" s="23" t="n"/>
      <c r="O30" s="24" t="n"/>
      <c r="P30" s="22">
        <f>IF(AND(D30=ExportPlatform,N30="Ready",A30&lt;&gt;""),COUNTIFS($D$7:D30,ExportPlatform,$N$7:N30,"Ready",$A$7:A30,"&lt;&gt;"),"")</f>
        <v/>
      </c>
    </row>
    <row r="31">
      <c r="A31" s="20" t="n"/>
      <c r="B31" s="21" t="n"/>
      <c r="C31" s="22">
        <f>IF(A31="","",CHOOSE(WEEKDAY(A31,2),"Mon","Tue","Wed","Thu","Fri","Sat","Sun"))</f>
        <v/>
      </c>
      <c r="D31" s="23" t="n"/>
      <c r="E31" s="23" t="n"/>
      <c r="F31" s="23" t="n"/>
      <c r="G31" s="24" t="n"/>
      <c r="H31" s="24" t="n"/>
      <c r="I31" s="22">
        <f>IF(H31="","",LEN(H31))</f>
        <v/>
      </c>
      <c r="J31" s="25">
        <f>IF(D31="","",IFERROR(INDEX(PlatformLimits,MATCH(D31,PlatformNames,0)),""))</f>
        <v/>
      </c>
      <c r="K31" s="24" t="n"/>
      <c r="L31" s="23" t="n"/>
      <c r="M31" s="23" t="n"/>
      <c r="N31" s="23" t="n"/>
      <c r="O31" s="24" t="n"/>
      <c r="P31" s="22">
        <f>IF(AND(D31=ExportPlatform,N31="Ready",A31&lt;&gt;""),COUNTIFS($D$7:D31,ExportPlatform,$N$7:N31,"Ready",$A$7:A31,"&lt;&gt;"),"")</f>
        <v/>
      </c>
    </row>
    <row r="32">
      <c r="A32" s="20" t="n"/>
      <c r="B32" s="21" t="n"/>
      <c r="C32" s="22">
        <f>IF(A32="","",CHOOSE(WEEKDAY(A32,2),"Mon","Tue","Wed","Thu","Fri","Sat","Sun"))</f>
        <v/>
      </c>
      <c r="D32" s="23" t="n"/>
      <c r="E32" s="23" t="n"/>
      <c r="F32" s="23" t="n"/>
      <c r="G32" s="24" t="n"/>
      <c r="H32" s="24" t="n"/>
      <c r="I32" s="22">
        <f>IF(H32="","",LEN(H32))</f>
        <v/>
      </c>
      <c r="J32" s="25">
        <f>IF(D32="","",IFERROR(INDEX(PlatformLimits,MATCH(D32,PlatformNames,0)),""))</f>
        <v/>
      </c>
      <c r="K32" s="24" t="n"/>
      <c r="L32" s="23" t="n"/>
      <c r="M32" s="23" t="n"/>
      <c r="N32" s="23" t="n"/>
      <c r="O32" s="24" t="n"/>
      <c r="P32" s="22">
        <f>IF(AND(D32=ExportPlatform,N32="Ready",A32&lt;&gt;""),COUNTIFS($D$7:D32,ExportPlatform,$N$7:N32,"Ready",$A$7:A32,"&lt;&gt;"),"")</f>
        <v/>
      </c>
    </row>
    <row r="33">
      <c r="A33" s="20" t="n"/>
      <c r="B33" s="21" t="n"/>
      <c r="C33" s="22">
        <f>IF(A33="","",CHOOSE(WEEKDAY(A33,2),"Mon","Tue","Wed","Thu","Fri","Sat","Sun"))</f>
        <v/>
      </c>
      <c r="D33" s="23" t="n"/>
      <c r="E33" s="23" t="n"/>
      <c r="F33" s="23" t="n"/>
      <c r="G33" s="24" t="n"/>
      <c r="H33" s="24" t="n"/>
      <c r="I33" s="22">
        <f>IF(H33="","",LEN(H33))</f>
        <v/>
      </c>
      <c r="J33" s="25">
        <f>IF(D33="","",IFERROR(INDEX(PlatformLimits,MATCH(D33,PlatformNames,0)),""))</f>
        <v/>
      </c>
      <c r="K33" s="24" t="n"/>
      <c r="L33" s="23" t="n"/>
      <c r="M33" s="23" t="n"/>
      <c r="N33" s="23" t="n"/>
      <c r="O33" s="24" t="n"/>
      <c r="P33" s="22">
        <f>IF(AND(D33=ExportPlatform,N33="Ready",A33&lt;&gt;""),COUNTIFS($D$7:D33,ExportPlatform,$N$7:N33,"Ready",$A$7:A33,"&lt;&gt;"),"")</f>
        <v/>
      </c>
    </row>
    <row r="34">
      <c r="A34" s="20" t="n"/>
      <c r="B34" s="21" t="n"/>
      <c r="C34" s="22">
        <f>IF(A34="","",CHOOSE(WEEKDAY(A34,2),"Mon","Tue","Wed","Thu","Fri","Sat","Sun"))</f>
        <v/>
      </c>
      <c r="D34" s="23" t="n"/>
      <c r="E34" s="23" t="n"/>
      <c r="F34" s="23" t="n"/>
      <c r="G34" s="24" t="n"/>
      <c r="H34" s="24" t="n"/>
      <c r="I34" s="22">
        <f>IF(H34="","",LEN(H34))</f>
        <v/>
      </c>
      <c r="J34" s="25">
        <f>IF(D34="","",IFERROR(INDEX(PlatformLimits,MATCH(D34,PlatformNames,0)),""))</f>
        <v/>
      </c>
      <c r="K34" s="24" t="n"/>
      <c r="L34" s="23" t="n"/>
      <c r="M34" s="23" t="n"/>
      <c r="N34" s="23" t="n"/>
      <c r="O34" s="24" t="n"/>
      <c r="P34" s="22">
        <f>IF(AND(D34=ExportPlatform,N34="Ready",A34&lt;&gt;""),COUNTIFS($D$7:D34,ExportPlatform,$N$7:N34,"Ready",$A$7:A34,"&lt;&gt;"),"")</f>
        <v/>
      </c>
    </row>
    <row r="35">
      <c r="A35" s="20" t="n"/>
      <c r="B35" s="21" t="n"/>
      <c r="C35" s="22">
        <f>IF(A35="","",CHOOSE(WEEKDAY(A35,2),"Mon","Tue","Wed","Thu","Fri","Sat","Sun"))</f>
        <v/>
      </c>
      <c r="D35" s="23" t="n"/>
      <c r="E35" s="23" t="n"/>
      <c r="F35" s="23" t="n"/>
      <c r="G35" s="24" t="n"/>
      <c r="H35" s="24" t="n"/>
      <c r="I35" s="22">
        <f>IF(H35="","",LEN(H35))</f>
        <v/>
      </c>
      <c r="J35" s="25">
        <f>IF(D35="","",IFERROR(INDEX(PlatformLimits,MATCH(D35,PlatformNames,0)),""))</f>
        <v/>
      </c>
      <c r="K35" s="24" t="n"/>
      <c r="L35" s="23" t="n"/>
      <c r="M35" s="23" t="n"/>
      <c r="N35" s="23" t="n"/>
      <c r="O35" s="24" t="n"/>
      <c r="P35" s="22">
        <f>IF(AND(D35=ExportPlatform,N35="Ready",A35&lt;&gt;""),COUNTIFS($D$7:D35,ExportPlatform,$N$7:N35,"Ready",$A$7:A35,"&lt;&gt;"),"")</f>
        <v/>
      </c>
    </row>
    <row r="36">
      <c r="A36" s="20" t="n"/>
      <c r="B36" s="21" t="n"/>
      <c r="C36" s="22">
        <f>IF(A36="","",CHOOSE(WEEKDAY(A36,2),"Mon","Tue","Wed","Thu","Fri","Sat","Sun"))</f>
        <v/>
      </c>
      <c r="D36" s="23" t="n"/>
      <c r="E36" s="23" t="n"/>
      <c r="F36" s="23" t="n"/>
      <c r="G36" s="24" t="n"/>
      <c r="H36" s="24" t="n"/>
      <c r="I36" s="22">
        <f>IF(H36="","",LEN(H36))</f>
        <v/>
      </c>
      <c r="J36" s="25">
        <f>IF(D36="","",IFERROR(INDEX(PlatformLimits,MATCH(D36,PlatformNames,0)),""))</f>
        <v/>
      </c>
      <c r="K36" s="24" t="n"/>
      <c r="L36" s="23" t="n"/>
      <c r="M36" s="23" t="n"/>
      <c r="N36" s="23" t="n"/>
      <c r="O36" s="24" t="n"/>
      <c r="P36" s="22">
        <f>IF(AND(D36=ExportPlatform,N36="Ready",A36&lt;&gt;""),COUNTIFS($D$7:D36,ExportPlatform,$N$7:N36,"Ready",$A$7:A36,"&lt;&gt;"),"")</f>
        <v/>
      </c>
    </row>
    <row r="37">
      <c r="A37" s="20" t="n"/>
      <c r="B37" s="21" t="n"/>
      <c r="C37" s="22">
        <f>IF(A37="","",CHOOSE(WEEKDAY(A37,2),"Mon","Tue","Wed","Thu","Fri","Sat","Sun"))</f>
        <v/>
      </c>
      <c r="D37" s="23" t="n"/>
      <c r="E37" s="23" t="n"/>
      <c r="F37" s="23" t="n"/>
      <c r="G37" s="24" t="n"/>
      <c r="H37" s="24" t="n"/>
      <c r="I37" s="22">
        <f>IF(H37="","",LEN(H37))</f>
        <v/>
      </c>
      <c r="J37" s="25">
        <f>IF(D37="","",IFERROR(INDEX(PlatformLimits,MATCH(D37,PlatformNames,0)),""))</f>
        <v/>
      </c>
      <c r="K37" s="24" t="n"/>
      <c r="L37" s="23" t="n"/>
      <c r="M37" s="23" t="n"/>
      <c r="N37" s="23" t="n"/>
      <c r="O37" s="24" t="n"/>
      <c r="P37" s="22">
        <f>IF(AND(D37=ExportPlatform,N37="Ready",A37&lt;&gt;""),COUNTIFS($D$7:D37,ExportPlatform,$N$7:N37,"Ready",$A$7:A37,"&lt;&gt;"),"")</f>
        <v/>
      </c>
    </row>
    <row r="38">
      <c r="A38" s="20" t="n"/>
      <c r="B38" s="21" t="n"/>
      <c r="C38" s="22">
        <f>IF(A38="","",CHOOSE(WEEKDAY(A38,2),"Mon","Tue","Wed","Thu","Fri","Sat","Sun"))</f>
        <v/>
      </c>
      <c r="D38" s="23" t="n"/>
      <c r="E38" s="23" t="n"/>
      <c r="F38" s="23" t="n"/>
      <c r="G38" s="24" t="n"/>
      <c r="H38" s="24" t="n"/>
      <c r="I38" s="22">
        <f>IF(H38="","",LEN(H38))</f>
        <v/>
      </c>
      <c r="J38" s="25">
        <f>IF(D38="","",IFERROR(INDEX(PlatformLimits,MATCH(D38,PlatformNames,0)),""))</f>
        <v/>
      </c>
      <c r="K38" s="24" t="n"/>
      <c r="L38" s="23" t="n"/>
      <c r="M38" s="23" t="n"/>
      <c r="N38" s="23" t="n"/>
      <c r="O38" s="24" t="n"/>
      <c r="P38" s="22">
        <f>IF(AND(D38=ExportPlatform,N38="Ready",A38&lt;&gt;""),COUNTIFS($D$7:D38,ExportPlatform,$N$7:N38,"Ready",$A$7:A38,"&lt;&gt;"),"")</f>
        <v/>
      </c>
    </row>
    <row r="39">
      <c r="A39" s="20" t="n"/>
      <c r="B39" s="21" t="n"/>
      <c r="C39" s="22">
        <f>IF(A39="","",CHOOSE(WEEKDAY(A39,2),"Mon","Tue","Wed","Thu","Fri","Sat","Sun"))</f>
        <v/>
      </c>
      <c r="D39" s="23" t="n"/>
      <c r="E39" s="23" t="n"/>
      <c r="F39" s="23" t="n"/>
      <c r="G39" s="24" t="n"/>
      <c r="H39" s="24" t="n"/>
      <c r="I39" s="22">
        <f>IF(H39="","",LEN(H39))</f>
        <v/>
      </c>
      <c r="J39" s="25">
        <f>IF(D39="","",IFERROR(INDEX(PlatformLimits,MATCH(D39,PlatformNames,0)),""))</f>
        <v/>
      </c>
      <c r="K39" s="24" t="n"/>
      <c r="L39" s="23" t="n"/>
      <c r="M39" s="23" t="n"/>
      <c r="N39" s="23" t="n"/>
      <c r="O39" s="24" t="n"/>
      <c r="P39" s="22">
        <f>IF(AND(D39=ExportPlatform,N39="Ready",A39&lt;&gt;""),COUNTIFS($D$7:D39,ExportPlatform,$N$7:N39,"Ready",$A$7:A39,"&lt;&gt;"),"")</f>
        <v/>
      </c>
    </row>
    <row r="40">
      <c r="A40" s="20" t="n"/>
      <c r="B40" s="21" t="n"/>
      <c r="C40" s="22">
        <f>IF(A40="","",CHOOSE(WEEKDAY(A40,2),"Mon","Tue","Wed","Thu","Fri","Sat","Sun"))</f>
        <v/>
      </c>
      <c r="D40" s="23" t="n"/>
      <c r="E40" s="23" t="n"/>
      <c r="F40" s="23" t="n"/>
      <c r="G40" s="24" t="n"/>
      <c r="H40" s="24" t="n"/>
      <c r="I40" s="22">
        <f>IF(H40="","",LEN(H40))</f>
        <v/>
      </c>
      <c r="J40" s="25">
        <f>IF(D40="","",IFERROR(INDEX(PlatformLimits,MATCH(D40,PlatformNames,0)),""))</f>
        <v/>
      </c>
      <c r="K40" s="24" t="n"/>
      <c r="L40" s="23" t="n"/>
      <c r="M40" s="23" t="n"/>
      <c r="N40" s="23" t="n"/>
      <c r="O40" s="24" t="n"/>
      <c r="P40" s="22">
        <f>IF(AND(D40=ExportPlatform,N40="Ready",A40&lt;&gt;""),COUNTIFS($D$7:D40,ExportPlatform,$N$7:N40,"Ready",$A$7:A40,"&lt;&gt;"),"")</f>
        <v/>
      </c>
    </row>
    <row r="41">
      <c r="A41" s="20" t="n"/>
      <c r="B41" s="21" t="n"/>
      <c r="C41" s="22">
        <f>IF(A41="","",CHOOSE(WEEKDAY(A41,2),"Mon","Tue","Wed","Thu","Fri","Sat","Sun"))</f>
        <v/>
      </c>
      <c r="D41" s="23" t="n"/>
      <c r="E41" s="23" t="n"/>
      <c r="F41" s="23" t="n"/>
      <c r="G41" s="24" t="n"/>
      <c r="H41" s="24" t="n"/>
      <c r="I41" s="22">
        <f>IF(H41="","",LEN(H41))</f>
        <v/>
      </c>
      <c r="J41" s="25">
        <f>IF(D41="","",IFERROR(INDEX(PlatformLimits,MATCH(D41,PlatformNames,0)),""))</f>
        <v/>
      </c>
      <c r="K41" s="24" t="n"/>
      <c r="L41" s="23" t="n"/>
      <c r="M41" s="23" t="n"/>
      <c r="N41" s="23" t="n"/>
      <c r="O41" s="24" t="n"/>
      <c r="P41" s="22">
        <f>IF(AND(D41=ExportPlatform,N41="Ready",A41&lt;&gt;""),COUNTIFS($D$7:D41,ExportPlatform,$N$7:N41,"Ready",$A$7:A41,"&lt;&gt;"),"")</f>
        <v/>
      </c>
    </row>
    <row r="42">
      <c r="A42" s="20" t="n"/>
      <c r="B42" s="21" t="n"/>
      <c r="C42" s="22">
        <f>IF(A42="","",CHOOSE(WEEKDAY(A42,2),"Mon","Tue","Wed","Thu","Fri","Sat","Sun"))</f>
        <v/>
      </c>
      <c r="D42" s="23" t="n"/>
      <c r="E42" s="23" t="n"/>
      <c r="F42" s="23" t="n"/>
      <c r="G42" s="24" t="n"/>
      <c r="H42" s="24" t="n"/>
      <c r="I42" s="22">
        <f>IF(H42="","",LEN(H42))</f>
        <v/>
      </c>
      <c r="J42" s="25">
        <f>IF(D42="","",IFERROR(INDEX(PlatformLimits,MATCH(D42,PlatformNames,0)),""))</f>
        <v/>
      </c>
      <c r="K42" s="24" t="n"/>
      <c r="L42" s="23" t="n"/>
      <c r="M42" s="23" t="n"/>
      <c r="N42" s="23" t="n"/>
      <c r="O42" s="24" t="n"/>
      <c r="P42" s="22">
        <f>IF(AND(D42=ExportPlatform,N42="Ready",A42&lt;&gt;""),COUNTIFS($D$7:D42,ExportPlatform,$N$7:N42,"Ready",$A$7:A42,"&lt;&gt;"),"")</f>
        <v/>
      </c>
    </row>
    <row r="43">
      <c r="A43" s="20" t="n"/>
      <c r="B43" s="21" t="n"/>
      <c r="C43" s="22">
        <f>IF(A43="","",CHOOSE(WEEKDAY(A43,2),"Mon","Tue","Wed","Thu","Fri","Sat","Sun"))</f>
        <v/>
      </c>
      <c r="D43" s="23" t="n"/>
      <c r="E43" s="23" t="n"/>
      <c r="F43" s="23" t="n"/>
      <c r="G43" s="24" t="n"/>
      <c r="H43" s="24" t="n"/>
      <c r="I43" s="22">
        <f>IF(H43="","",LEN(H43))</f>
        <v/>
      </c>
      <c r="J43" s="25">
        <f>IF(D43="","",IFERROR(INDEX(PlatformLimits,MATCH(D43,PlatformNames,0)),""))</f>
        <v/>
      </c>
      <c r="K43" s="24" t="n"/>
      <c r="L43" s="23" t="n"/>
      <c r="M43" s="23" t="n"/>
      <c r="N43" s="23" t="n"/>
      <c r="O43" s="24" t="n"/>
      <c r="P43" s="22">
        <f>IF(AND(D43=ExportPlatform,N43="Ready",A43&lt;&gt;""),COUNTIFS($D$7:D43,ExportPlatform,$N$7:N43,"Ready",$A$7:A43,"&lt;&gt;"),"")</f>
        <v/>
      </c>
    </row>
    <row r="44">
      <c r="A44" s="20" t="n"/>
      <c r="B44" s="21" t="n"/>
      <c r="C44" s="22">
        <f>IF(A44="","",CHOOSE(WEEKDAY(A44,2),"Mon","Tue","Wed","Thu","Fri","Sat","Sun"))</f>
        <v/>
      </c>
      <c r="D44" s="23" t="n"/>
      <c r="E44" s="23" t="n"/>
      <c r="F44" s="23" t="n"/>
      <c r="G44" s="24" t="n"/>
      <c r="H44" s="24" t="n"/>
      <c r="I44" s="22">
        <f>IF(H44="","",LEN(H44))</f>
        <v/>
      </c>
      <c r="J44" s="25">
        <f>IF(D44="","",IFERROR(INDEX(PlatformLimits,MATCH(D44,PlatformNames,0)),""))</f>
        <v/>
      </c>
      <c r="K44" s="24" t="n"/>
      <c r="L44" s="23" t="n"/>
      <c r="M44" s="23" t="n"/>
      <c r="N44" s="23" t="n"/>
      <c r="O44" s="24" t="n"/>
      <c r="P44" s="22">
        <f>IF(AND(D44=ExportPlatform,N44="Ready",A44&lt;&gt;""),COUNTIFS($D$7:D44,ExportPlatform,$N$7:N44,"Ready",$A$7:A44,"&lt;&gt;"),"")</f>
        <v/>
      </c>
    </row>
    <row r="45">
      <c r="A45" s="20" t="n"/>
      <c r="B45" s="21" t="n"/>
      <c r="C45" s="22">
        <f>IF(A45="","",CHOOSE(WEEKDAY(A45,2),"Mon","Tue","Wed","Thu","Fri","Sat","Sun"))</f>
        <v/>
      </c>
      <c r="D45" s="23" t="n"/>
      <c r="E45" s="23" t="n"/>
      <c r="F45" s="23" t="n"/>
      <c r="G45" s="24" t="n"/>
      <c r="H45" s="24" t="n"/>
      <c r="I45" s="22">
        <f>IF(H45="","",LEN(H45))</f>
        <v/>
      </c>
      <c r="J45" s="25">
        <f>IF(D45="","",IFERROR(INDEX(PlatformLimits,MATCH(D45,PlatformNames,0)),""))</f>
        <v/>
      </c>
      <c r="K45" s="24" t="n"/>
      <c r="L45" s="23" t="n"/>
      <c r="M45" s="23" t="n"/>
      <c r="N45" s="23" t="n"/>
      <c r="O45" s="24" t="n"/>
      <c r="P45" s="22">
        <f>IF(AND(D45=ExportPlatform,N45="Ready",A45&lt;&gt;""),COUNTIFS($D$7:D45,ExportPlatform,$N$7:N45,"Ready",$A$7:A45,"&lt;&gt;"),"")</f>
        <v/>
      </c>
    </row>
    <row r="46">
      <c r="A46" s="20" t="n"/>
      <c r="B46" s="21" t="n"/>
      <c r="C46" s="22">
        <f>IF(A46="","",CHOOSE(WEEKDAY(A46,2),"Mon","Tue","Wed","Thu","Fri","Sat","Sun"))</f>
        <v/>
      </c>
      <c r="D46" s="23" t="n"/>
      <c r="E46" s="23" t="n"/>
      <c r="F46" s="23" t="n"/>
      <c r="G46" s="24" t="n"/>
      <c r="H46" s="24" t="n"/>
      <c r="I46" s="22">
        <f>IF(H46="","",LEN(H46))</f>
        <v/>
      </c>
      <c r="J46" s="25">
        <f>IF(D46="","",IFERROR(INDEX(PlatformLimits,MATCH(D46,PlatformNames,0)),""))</f>
        <v/>
      </c>
      <c r="K46" s="24" t="n"/>
      <c r="L46" s="23" t="n"/>
      <c r="M46" s="23" t="n"/>
      <c r="N46" s="23" t="n"/>
      <c r="O46" s="24" t="n"/>
      <c r="P46" s="22">
        <f>IF(AND(D46=ExportPlatform,N46="Ready",A46&lt;&gt;""),COUNTIFS($D$7:D46,ExportPlatform,$N$7:N46,"Ready",$A$7:A46,"&lt;&gt;"),"")</f>
        <v/>
      </c>
    </row>
    <row r="47">
      <c r="A47" s="20" t="n"/>
      <c r="B47" s="21" t="n"/>
      <c r="C47" s="22">
        <f>IF(A47="","",CHOOSE(WEEKDAY(A47,2),"Mon","Tue","Wed","Thu","Fri","Sat","Sun"))</f>
        <v/>
      </c>
      <c r="D47" s="23" t="n"/>
      <c r="E47" s="23" t="n"/>
      <c r="F47" s="23" t="n"/>
      <c r="G47" s="24" t="n"/>
      <c r="H47" s="24" t="n"/>
      <c r="I47" s="22">
        <f>IF(H47="","",LEN(H47))</f>
        <v/>
      </c>
      <c r="J47" s="25">
        <f>IF(D47="","",IFERROR(INDEX(PlatformLimits,MATCH(D47,PlatformNames,0)),""))</f>
        <v/>
      </c>
      <c r="K47" s="24" t="n"/>
      <c r="L47" s="23" t="n"/>
      <c r="M47" s="23" t="n"/>
      <c r="N47" s="23" t="n"/>
      <c r="O47" s="24" t="n"/>
      <c r="P47" s="22">
        <f>IF(AND(D47=ExportPlatform,N47="Ready",A47&lt;&gt;""),COUNTIFS($D$7:D47,ExportPlatform,$N$7:N47,"Ready",$A$7:A47,"&lt;&gt;"),"")</f>
        <v/>
      </c>
    </row>
    <row r="48">
      <c r="A48" s="20" t="n"/>
      <c r="B48" s="21" t="n"/>
      <c r="C48" s="22">
        <f>IF(A48="","",CHOOSE(WEEKDAY(A48,2),"Mon","Tue","Wed","Thu","Fri","Sat","Sun"))</f>
        <v/>
      </c>
      <c r="D48" s="23" t="n"/>
      <c r="E48" s="23" t="n"/>
      <c r="F48" s="23" t="n"/>
      <c r="G48" s="24" t="n"/>
      <c r="H48" s="24" t="n"/>
      <c r="I48" s="22">
        <f>IF(H48="","",LEN(H48))</f>
        <v/>
      </c>
      <c r="J48" s="25">
        <f>IF(D48="","",IFERROR(INDEX(PlatformLimits,MATCH(D48,PlatformNames,0)),""))</f>
        <v/>
      </c>
      <c r="K48" s="24" t="n"/>
      <c r="L48" s="23" t="n"/>
      <c r="M48" s="23" t="n"/>
      <c r="N48" s="23" t="n"/>
      <c r="O48" s="24" t="n"/>
      <c r="P48" s="22">
        <f>IF(AND(D48=ExportPlatform,N48="Ready",A48&lt;&gt;""),COUNTIFS($D$7:D48,ExportPlatform,$N$7:N48,"Ready",$A$7:A48,"&lt;&gt;"),"")</f>
        <v/>
      </c>
    </row>
    <row r="49">
      <c r="A49" s="20" t="n"/>
      <c r="B49" s="21" t="n"/>
      <c r="C49" s="22">
        <f>IF(A49="","",CHOOSE(WEEKDAY(A49,2),"Mon","Tue","Wed","Thu","Fri","Sat","Sun"))</f>
        <v/>
      </c>
      <c r="D49" s="23" t="n"/>
      <c r="E49" s="23" t="n"/>
      <c r="F49" s="23" t="n"/>
      <c r="G49" s="24" t="n"/>
      <c r="H49" s="24" t="n"/>
      <c r="I49" s="22">
        <f>IF(H49="","",LEN(H49))</f>
        <v/>
      </c>
      <c r="J49" s="25">
        <f>IF(D49="","",IFERROR(INDEX(PlatformLimits,MATCH(D49,PlatformNames,0)),""))</f>
        <v/>
      </c>
      <c r="K49" s="24" t="n"/>
      <c r="L49" s="23" t="n"/>
      <c r="M49" s="23" t="n"/>
      <c r="N49" s="23" t="n"/>
      <c r="O49" s="24" t="n"/>
      <c r="P49" s="22">
        <f>IF(AND(D49=ExportPlatform,N49="Ready",A49&lt;&gt;""),COUNTIFS($D$7:D49,ExportPlatform,$N$7:N49,"Ready",$A$7:A49,"&lt;&gt;"),"")</f>
        <v/>
      </c>
    </row>
    <row r="50">
      <c r="A50" s="20" t="n"/>
      <c r="B50" s="21" t="n"/>
      <c r="C50" s="22">
        <f>IF(A50="","",CHOOSE(WEEKDAY(A50,2),"Mon","Tue","Wed","Thu","Fri","Sat","Sun"))</f>
        <v/>
      </c>
      <c r="D50" s="23" t="n"/>
      <c r="E50" s="23" t="n"/>
      <c r="F50" s="23" t="n"/>
      <c r="G50" s="24" t="n"/>
      <c r="H50" s="24" t="n"/>
      <c r="I50" s="22">
        <f>IF(H50="","",LEN(H50))</f>
        <v/>
      </c>
      <c r="J50" s="25">
        <f>IF(D50="","",IFERROR(INDEX(PlatformLimits,MATCH(D50,PlatformNames,0)),""))</f>
        <v/>
      </c>
      <c r="K50" s="24" t="n"/>
      <c r="L50" s="23" t="n"/>
      <c r="M50" s="23" t="n"/>
      <c r="N50" s="23" t="n"/>
      <c r="O50" s="24" t="n"/>
      <c r="P50" s="22">
        <f>IF(AND(D50=ExportPlatform,N50="Ready",A50&lt;&gt;""),COUNTIFS($D$7:D50,ExportPlatform,$N$7:N50,"Ready",$A$7:A50,"&lt;&gt;"),"")</f>
        <v/>
      </c>
    </row>
    <row r="51">
      <c r="A51" s="20" t="n"/>
      <c r="B51" s="21" t="n"/>
      <c r="C51" s="22">
        <f>IF(A51="","",CHOOSE(WEEKDAY(A51,2),"Mon","Tue","Wed","Thu","Fri","Sat","Sun"))</f>
        <v/>
      </c>
      <c r="D51" s="23" t="n"/>
      <c r="E51" s="23" t="n"/>
      <c r="F51" s="23" t="n"/>
      <c r="G51" s="24" t="n"/>
      <c r="H51" s="24" t="n"/>
      <c r="I51" s="22">
        <f>IF(H51="","",LEN(H51))</f>
        <v/>
      </c>
      <c r="J51" s="25">
        <f>IF(D51="","",IFERROR(INDEX(PlatformLimits,MATCH(D51,PlatformNames,0)),""))</f>
        <v/>
      </c>
      <c r="K51" s="24" t="n"/>
      <c r="L51" s="23" t="n"/>
      <c r="M51" s="23" t="n"/>
      <c r="N51" s="23" t="n"/>
      <c r="O51" s="24" t="n"/>
      <c r="P51" s="22">
        <f>IF(AND(D51=ExportPlatform,N51="Ready",A51&lt;&gt;""),COUNTIFS($D$7:D51,ExportPlatform,$N$7:N51,"Ready",$A$7:A51,"&lt;&gt;"),"")</f>
        <v/>
      </c>
    </row>
    <row r="52">
      <c r="A52" s="20" t="n"/>
      <c r="B52" s="21" t="n"/>
      <c r="C52" s="22">
        <f>IF(A52="","",CHOOSE(WEEKDAY(A52,2),"Mon","Tue","Wed","Thu","Fri","Sat","Sun"))</f>
        <v/>
      </c>
      <c r="D52" s="23" t="n"/>
      <c r="E52" s="23" t="n"/>
      <c r="F52" s="23" t="n"/>
      <c r="G52" s="24" t="n"/>
      <c r="H52" s="24" t="n"/>
      <c r="I52" s="22">
        <f>IF(H52="","",LEN(H52))</f>
        <v/>
      </c>
      <c r="J52" s="25">
        <f>IF(D52="","",IFERROR(INDEX(PlatformLimits,MATCH(D52,PlatformNames,0)),""))</f>
        <v/>
      </c>
      <c r="K52" s="24" t="n"/>
      <c r="L52" s="23" t="n"/>
      <c r="M52" s="23" t="n"/>
      <c r="N52" s="23" t="n"/>
      <c r="O52" s="24" t="n"/>
      <c r="P52" s="22">
        <f>IF(AND(D52=ExportPlatform,N52="Ready",A52&lt;&gt;""),COUNTIFS($D$7:D52,ExportPlatform,$N$7:N52,"Ready",$A$7:A52,"&lt;&gt;"),"")</f>
        <v/>
      </c>
    </row>
    <row r="53">
      <c r="A53" s="20" t="n"/>
      <c r="B53" s="21" t="n"/>
      <c r="C53" s="22">
        <f>IF(A53="","",CHOOSE(WEEKDAY(A53,2),"Mon","Tue","Wed","Thu","Fri","Sat","Sun"))</f>
        <v/>
      </c>
      <c r="D53" s="23" t="n"/>
      <c r="E53" s="23" t="n"/>
      <c r="F53" s="23" t="n"/>
      <c r="G53" s="24" t="n"/>
      <c r="H53" s="24" t="n"/>
      <c r="I53" s="22">
        <f>IF(H53="","",LEN(H53))</f>
        <v/>
      </c>
      <c r="J53" s="25">
        <f>IF(D53="","",IFERROR(INDEX(PlatformLimits,MATCH(D53,PlatformNames,0)),""))</f>
        <v/>
      </c>
      <c r="K53" s="24" t="n"/>
      <c r="L53" s="23" t="n"/>
      <c r="M53" s="23" t="n"/>
      <c r="N53" s="23" t="n"/>
      <c r="O53" s="24" t="n"/>
      <c r="P53" s="22">
        <f>IF(AND(D53=ExportPlatform,N53="Ready",A53&lt;&gt;""),COUNTIFS($D$7:D53,ExportPlatform,$N$7:N53,"Ready",$A$7:A53,"&lt;&gt;"),"")</f>
        <v/>
      </c>
    </row>
    <row r="54">
      <c r="A54" s="20" t="n"/>
      <c r="B54" s="21" t="n"/>
      <c r="C54" s="22">
        <f>IF(A54="","",CHOOSE(WEEKDAY(A54,2),"Mon","Tue","Wed","Thu","Fri","Sat","Sun"))</f>
        <v/>
      </c>
      <c r="D54" s="23" t="n"/>
      <c r="E54" s="23" t="n"/>
      <c r="F54" s="23" t="n"/>
      <c r="G54" s="24" t="n"/>
      <c r="H54" s="24" t="n"/>
      <c r="I54" s="22">
        <f>IF(H54="","",LEN(H54))</f>
        <v/>
      </c>
      <c r="J54" s="25">
        <f>IF(D54="","",IFERROR(INDEX(PlatformLimits,MATCH(D54,PlatformNames,0)),""))</f>
        <v/>
      </c>
      <c r="K54" s="24" t="n"/>
      <c r="L54" s="23" t="n"/>
      <c r="M54" s="23" t="n"/>
      <c r="N54" s="23" t="n"/>
      <c r="O54" s="24" t="n"/>
      <c r="P54" s="22">
        <f>IF(AND(D54=ExportPlatform,N54="Ready",A54&lt;&gt;""),COUNTIFS($D$7:D54,ExportPlatform,$N$7:N54,"Ready",$A$7:A54,"&lt;&gt;"),"")</f>
        <v/>
      </c>
    </row>
    <row r="55">
      <c r="A55" s="20" t="n"/>
      <c r="B55" s="21" t="n"/>
      <c r="C55" s="22">
        <f>IF(A55="","",CHOOSE(WEEKDAY(A55,2),"Mon","Tue","Wed","Thu","Fri","Sat","Sun"))</f>
        <v/>
      </c>
      <c r="D55" s="23" t="n"/>
      <c r="E55" s="23" t="n"/>
      <c r="F55" s="23" t="n"/>
      <c r="G55" s="24" t="n"/>
      <c r="H55" s="24" t="n"/>
      <c r="I55" s="22">
        <f>IF(H55="","",LEN(H55))</f>
        <v/>
      </c>
      <c r="J55" s="25">
        <f>IF(D55="","",IFERROR(INDEX(PlatformLimits,MATCH(D55,PlatformNames,0)),""))</f>
        <v/>
      </c>
      <c r="K55" s="24" t="n"/>
      <c r="L55" s="23" t="n"/>
      <c r="M55" s="23" t="n"/>
      <c r="N55" s="23" t="n"/>
      <c r="O55" s="24" t="n"/>
      <c r="P55" s="22">
        <f>IF(AND(D55=ExportPlatform,N55="Ready",A55&lt;&gt;""),COUNTIFS($D$7:D55,ExportPlatform,$N$7:N55,"Ready",$A$7:A55,"&lt;&gt;"),"")</f>
        <v/>
      </c>
    </row>
    <row r="56">
      <c r="A56" s="20" t="n"/>
      <c r="B56" s="21" t="n"/>
      <c r="C56" s="22">
        <f>IF(A56="","",CHOOSE(WEEKDAY(A56,2),"Mon","Tue","Wed","Thu","Fri","Sat","Sun"))</f>
        <v/>
      </c>
      <c r="D56" s="23" t="n"/>
      <c r="E56" s="23" t="n"/>
      <c r="F56" s="23" t="n"/>
      <c r="G56" s="24" t="n"/>
      <c r="H56" s="24" t="n"/>
      <c r="I56" s="22">
        <f>IF(H56="","",LEN(H56))</f>
        <v/>
      </c>
      <c r="J56" s="25">
        <f>IF(D56="","",IFERROR(INDEX(PlatformLimits,MATCH(D56,PlatformNames,0)),""))</f>
        <v/>
      </c>
      <c r="K56" s="24" t="n"/>
      <c r="L56" s="23" t="n"/>
      <c r="M56" s="23" t="n"/>
      <c r="N56" s="23" t="n"/>
      <c r="O56" s="24" t="n"/>
      <c r="P56" s="22">
        <f>IF(AND(D56=ExportPlatform,N56="Ready",A56&lt;&gt;""),COUNTIFS($D$7:D56,ExportPlatform,$N$7:N56,"Ready",$A$7:A56,"&lt;&gt;"),"")</f>
        <v/>
      </c>
    </row>
    <row r="57">
      <c r="A57" s="20" t="n"/>
      <c r="B57" s="21" t="n"/>
      <c r="C57" s="22">
        <f>IF(A57="","",CHOOSE(WEEKDAY(A57,2),"Mon","Tue","Wed","Thu","Fri","Sat","Sun"))</f>
        <v/>
      </c>
      <c r="D57" s="23" t="n"/>
      <c r="E57" s="23" t="n"/>
      <c r="F57" s="23" t="n"/>
      <c r="G57" s="24" t="n"/>
      <c r="H57" s="24" t="n"/>
      <c r="I57" s="22">
        <f>IF(H57="","",LEN(H57))</f>
        <v/>
      </c>
      <c r="J57" s="25">
        <f>IF(D57="","",IFERROR(INDEX(PlatformLimits,MATCH(D57,PlatformNames,0)),""))</f>
        <v/>
      </c>
      <c r="K57" s="24" t="n"/>
      <c r="L57" s="23" t="n"/>
      <c r="M57" s="23" t="n"/>
      <c r="N57" s="23" t="n"/>
      <c r="O57" s="24" t="n"/>
      <c r="P57" s="22">
        <f>IF(AND(D57=ExportPlatform,N57="Ready",A57&lt;&gt;""),COUNTIFS($D$7:D57,ExportPlatform,$N$7:N57,"Ready",$A$7:A57,"&lt;&gt;"),"")</f>
        <v/>
      </c>
    </row>
    <row r="58">
      <c r="A58" s="20" t="n"/>
      <c r="B58" s="21" t="n"/>
      <c r="C58" s="22">
        <f>IF(A58="","",CHOOSE(WEEKDAY(A58,2),"Mon","Tue","Wed","Thu","Fri","Sat","Sun"))</f>
        <v/>
      </c>
      <c r="D58" s="23" t="n"/>
      <c r="E58" s="23" t="n"/>
      <c r="F58" s="23" t="n"/>
      <c r="G58" s="24" t="n"/>
      <c r="H58" s="24" t="n"/>
      <c r="I58" s="22">
        <f>IF(H58="","",LEN(H58))</f>
        <v/>
      </c>
      <c r="J58" s="25">
        <f>IF(D58="","",IFERROR(INDEX(PlatformLimits,MATCH(D58,PlatformNames,0)),""))</f>
        <v/>
      </c>
      <c r="K58" s="24" t="n"/>
      <c r="L58" s="23" t="n"/>
      <c r="M58" s="23" t="n"/>
      <c r="N58" s="23" t="n"/>
      <c r="O58" s="24" t="n"/>
      <c r="P58" s="22">
        <f>IF(AND(D58=ExportPlatform,N58="Ready",A58&lt;&gt;""),COUNTIFS($D$7:D58,ExportPlatform,$N$7:N58,"Ready",$A$7:A58,"&lt;&gt;"),"")</f>
        <v/>
      </c>
    </row>
    <row r="59">
      <c r="A59" s="20" t="n"/>
      <c r="B59" s="21" t="n"/>
      <c r="C59" s="22">
        <f>IF(A59="","",CHOOSE(WEEKDAY(A59,2),"Mon","Tue","Wed","Thu","Fri","Sat","Sun"))</f>
        <v/>
      </c>
      <c r="D59" s="23" t="n"/>
      <c r="E59" s="23" t="n"/>
      <c r="F59" s="23" t="n"/>
      <c r="G59" s="24" t="n"/>
      <c r="H59" s="24" t="n"/>
      <c r="I59" s="22">
        <f>IF(H59="","",LEN(H59))</f>
        <v/>
      </c>
      <c r="J59" s="25">
        <f>IF(D59="","",IFERROR(INDEX(PlatformLimits,MATCH(D59,PlatformNames,0)),""))</f>
        <v/>
      </c>
      <c r="K59" s="24" t="n"/>
      <c r="L59" s="23" t="n"/>
      <c r="M59" s="23" t="n"/>
      <c r="N59" s="23" t="n"/>
      <c r="O59" s="24" t="n"/>
      <c r="P59" s="22">
        <f>IF(AND(D59=ExportPlatform,N59="Ready",A59&lt;&gt;""),COUNTIFS($D$7:D59,ExportPlatform,$N$7:N59,"Ready",$A$7:A59,"&lt;&gt;"),"")</f>
        <v/>
      </c>
    </row>
    <row r="60">
      <c r="A60" s="20" t="n"/>
      <c r="B60" s="21" t="n"/>
      <c r="C60" s="22">
        <f>IF(A60="","",CHOOSE(WEEKDAY(A60,2),"Mon","Tue","Wed","Thu","Fri","Sat","Sun"))</f>
        <v/>
      </c>
      <c r="D60" s="23" t="n"/>
      <c r="E60" s="23" t="n"/>
      <c r="F60" s="23" t="n"/>
      <c r="G60" s="24" t="n"/>
      <c r="H60" s="24" t="n"/>
      <c r="I60" s="22">
        <f>IF(H60="","",LEN(H60))</f>
        <v/>
      </c>
      <c r="J60" s="25">
        <f>IF(D60="","",IFERROR(INDEX(PlatformLimits,MATCH(D60,PlatformNames,0)),""))</f>
        <v/>
      </c>
      <c r="K60" s="24" t="n"/>
      <c r="L60" s="23" t="n"/>
      <c r="M60" s="23" t="n"/>
      <c r="N60" s="23" t="n"/>
      <c r="O60" s="24" t="n"/>
      <c r="P60" s="22">
        <f>IF(AND(D60=ExportPlatform,N60="Ready",A60&lt;&gt;""),COUNTIFS($D$7:D60,ExportPlatform,$N$7:N60,"Ready",$A$7:A60,"&lt;&gt;"),"")</f>
        <v/>
      </c>
    </row>
    <row r="61">
      <c r="A61" s="20" t="n"/>
      <c r="B61" s="21" t="n"/>
      <c r="C61" s="22">
        <f>IF(A61="","",CHOOSE(WEEKDAY(A61,2),"Mon","Tue","Wed","Thu","Fri","Sat","Sun"))</f>
        <v/>
      </c>
      <c r="D61" s="23" t="n"/>
      <c r="E61" s="23" t="n"/>
      <c r="F61" s="23" t="n"/>
      <c r="G61" s="24" t="n"/>
      <c r="H61" s="24" t="n"/>
      <c r="I61" s="22">
        <f>IF(H61="","",LEN(H61))</f>
        <v/>
      </c>
      <c r="J61" s="25">
        <f>IF(D61="","",IFERROR(INDEX(PlatformLimits,MATCH(D61,PlatformNames,0)),""))</f>
        <v/>
      </c>
      <c r="K61" s="24" t="n"/>
      <c r="L61" s="23" t="n"/>
      <c r="M61" s="23" t="n"/>
      <c r="N61" s="23" t="n"/>
      <c r="O61" s="24" t="n"/>
      <c r="P61" s="22">
        <f>IF(AND(D61=ExportPlatform,N61="Ready",A61&lt;&gt;""),COUNTIFS($D$7:D61,ExportPlatform,$N$7:N61,"Ready",$A$7:A61,"&lt;&gt;"),"")</f>
        <v/>
      </c>
    </row>
    <row r="62">
      <c r="A62" s="20" t="n"/>
      <c r="B62" s="21" t="n"/>
      <c r="C62" s="22">
        <f>IF(A62="","",CHOOSE(WEEKDAY(A62,2),"Mon","Tue","Wed","Thu","Fri","Sat","Sun"))</f>
        <v/>
      </c>
      <c r="D62" s="23" t="n"/>
      <c r="E62" s="23" t="n"/>
      <c r="F62" s="23" t="n"/>
      <c r="G62" s="24" t="n"/>
      <c r="H62" s="24" t="n"/>
      <c r="I62" s="22">
        <f>IF(H62="","",LEN(H62))</f>
        <v/>
      </c>
      <c r="J62" s="25">
        <f>IF(D62="","",IFERROR(INDEX(PlatformLimits,MATCH(D62,PlatformNames,0)),""))</f>
        <v/>
      </c>
      <c r="K62" s="24" t="n"/>
      <c r="L62" s="23" t="n"/>
      <c r="M62" s="23" t="n"/>
      <c r="N62" s="23" t="n"/>
      <c r="O62" s="24" t="n"/>
      <c r="P62" s="22">
        <f>IF(AND(D62=ExportPlatform,N62="Ready",A62&lt;&gt;""),COUNTIFS($D$7:D62,ExportPlatform,$N$7:N62,"Ready",$A$7:A62,"&lt;&gt;"),"")</f>
        <v/>
      </c>
    </row>
    <row r="63">
      <c r="A63" s="20" t="n"/>
      <c r="B63" s="21" t="n"/>
      <c r="C63" s="22">
        <f>IF(A63="","",CHOOSE(WEEKDAY(A63,2),"Mon","Tue","Wed","Thu","Fri","Sat","Sun"))</f>
        <v/>
      </c>
      <c r="D63" s="23" t="n"/>
      <c r="E63" s="23" t="n"/>
      <c r="F63" s="23" t="n"/>
      <c r="G63" s="24" t="n"/>
      <c r="H63" s="24" t="n"/>
      <c r="I63" s="22">
        <f>IF(H63="","",LEN(H63))</f>
        <v/>
      </c>
      <c r="J63" s="25">
        <f>IF(D63="","",IFERROR(INDEX(PlatformLimits,MATCH(D63,PlatformNames,0)),""))</f>
        <v/>
      </c>
      <c r="K63" s="24" t="n"/>
      <c r="L63" s="23" t="n"/>
      <c r="M63" s="23" t="n"/>
      <c r="N63" s="23" t="n"/>
      <c r="O63" s="24" t="n"/>
      <c r="P63" s="22">
        <f>IF(AND(D63=ExportPlatform,N63="Ready",A63&lt;&gt;""),COUNTIFS($D$7:D63,ExportPlatform,$N$7:N63,"Ready",$A$7:A63,"&lt;&gt;"),"")</f>
        <v/>
      </c>
    </row>
    <row r="64">
      <c r="A64" s="20" t="n"/>
      <c r="B64" s="21" t="n"/>
      <c r="C64" s="22">
        <f>IF(A64="","",CHOOSE(WEEKDAY(A64,2),"Mon","Tue","Wed","Thu","Fri","Sat","Sun"))</f>
        <v/>
      </c>
      <c r="D64" s="23" t="n"/>
      <c r="E64" s="23" t="n"/>
      <c r="F64" s="23" t="n"/>
      <c r="G64" s="24" t="n"/>
      <c r="H64" s="24" t="n"/>
      <c r="I64" s="22">
        <f>IF(H64="","",LEN(H64))</f>
        <v/>
      </c>
      <c r="J64" s="25">
        <f>IF(D64="","",IFERROR(INDEX(PlatformLimits,MATCH(D64,PlatformNames,0)),""))</f>
        <v/>
      </c>
      <c r="K64" s="24" t="n"/>
      <c r="L64" s="23" t="n"/>
      <c r="M64" s="23" t="n"/>
      <c r="N64" s="23" t="n"/>
      <c r="O64" s="24" t="n"/>
      <c r="P64" s="22">
        <f>IF(AND(D64=ExportPlatform,N64="Ready",A64&lt;&gt;""),COUNTIFS($D$7:D64,ExportPlatform,$N$7:N64,"Ready",$A$7:A64,"&lt;&gt;"),"")</f>
        <v/>
      </c>
    </row>
    <row r="65">
      <c r="A65" s="20" t="n"/>
      <c r="B65" s="21" t="n"/>
      <c r="C65" s="22">
        <f>IF(A65="","",CHOOSE(WEEKDAY(A65,2),"Mon","Tue","Wed","Thu","Fri","Sat","Sun"))</f>
        <v/>
      </c>
      <c r="D65" s="23" t="n"/>
      <c r="E65" s="23" t="n"/>
      <c r="F65" s="23" t="n"/>
      <c r="G65" s="24" t="n"/>
      <c r="H65" s="24" t="n"/>
      <c r="I65" s="22">
        <f>IF(H65="","",LEN(H65))</f>
        <v/>
      </c>
      <c r="J65" s="25">
        <f>IF(D65="","",IFERROR(INDEX(PlatformLimits,MATCH(D65,PlatformNames,0)),""))</f>
        <v/>
      </c>
      <c r="K65" s="24" t="n"/>
      <c r="L65" s="23" t="n"/>
      <c r="M65" s="23" t="n"/>
      <c r="N65" s="23" t="n"/>
      <c r="O65" s="24" t="n"/>
      <c r="P65" s="22">
        <f>IF(AND(D65=ExportPlatform,N65="Ready",A65&lt;&gt;""),COUNTIFS($D$7:D65,ExportPlatform,$N$7:N65,"Ready",$A$7:A65,"&lt;&gt;"),"")</f>
        <v/>
      </c>
    </row>
    <row r="66">
      <c r="A66" s="20" t="n"/>
      <c r="B66" s="21" t="n"/>
      <c r="C66" s="22">
        <f>IF(A66="","",CHOOSE(WEEKDAY(A66,2),"Mon","Tue","Wed","Thu","Fri","Sat","Sun"))</f>
        <v/>
      </c>
      <c r="D66" s="23" t="n"/>
      <c r="E66" s="23" t="n"/>
      <c r="F66" s="23" t="n"/>
      <c r="G66" s="24" t="n"/>
      <c r="H66" s="24" t="n"/>
      <c r="I66" s="22">
        <f>IF(H66="","",LEN(H66))</f>
        <v/>
      </c>
      <c r="J66" s="25">
        <f>IF(D66="","",IFERROR(INDEX(PlatformLimits,MATCH(D66,PlatformNames,0)),""))</f>
        <v/>
      </c>
      <c r="K66" s="24" t="n"/>
      <c r="L66" s="23" t="n"/>
      <c r="M66" s="23" t="n"/>
      <c r="N66" s="23" t="n"/>
      <c r="O66" s="24" t="n"/>
      <c r="P66" s="22">
        <f>IF(AND(D66=ExportPlatform,N66="Ready",A66&lt;&gt;""),COUNTIFS($D$7:D66,ExportPlatform,$N$7:N66,"Ready",$A$7:A66,"&lt;&gt;"),"")</f>
        <v/>
      </c>
    </row>
    <row r="67">
      <c r="A67" s="20" t="n"/>
      <c r="B67" s="21" t="n"/>
      <c r="C67" s="22">
        <f>IF(A67="","",CHOOSE(WEEKDAY(A67,2),"Mon","Tue","Wed","Thu","Fri","Sat","Sun"))</f>
        <v/>
      </c>
      <c r="D67" s="23" t="n"/>
      <c r="E67" s="23" t="n"/>
      <c r="F67" s="23" t="n"/>
      <c r="G67" s="24" t="n"/>
      <c r="H67" s="24" t="n"/>
      <c r="I67" s="22">
        <f>IF(H67="","",LEN(H67))</f>
        <v/>
      </c>
      <c r="J67" s="25">
        <f>IF(D67="","",IFERROR(INDEX(PlatformLimits,MATCH(D67,PlatformNames,0)),""))</f>
        <v/>
      </c>
      <c r="K67" s="24" t="n"/>
      <c r="L67" s="23" t="n"/>
      <c r="M67" s="23" t="n"/>
      <c r="N67" s="23" t="n"/>
      <c r="O67" s="24" t="n"/>
      <c r="P67" s="22">
        <f>IF(AND(D67=ExportPlatform,N67="Ready",A67&lt;&gt;""),COUNTIFS($D$7:D67,ExportPlatform,$N$7:N67,"Ready",$A$7:A67,"&lt;&gt;"),"")</f>
        <v/>
      </c>
    </row>
    <row r="68">
      <c r="A68" s="20" t="n"/>
      <c r="B68" s="21" t="n"/>
      <c r="C68" s="22">
        <f>IF(A68="","",CHOOSE(WEEKDAY(A68,2),"Mon","Tue","Wed","Thu","Fri","Sat","Sun"))</f>
        <v/>
      </c>
      <c r="D68" s="23" t="n"/>
      <c r="E68" s="23" t="n"/>
      <c r="F68" s="23" t="n"/>
      <c r="G68" s="24" t="n"/>
      <c r="H68" s="24" t="n"/>
      <c r="I68" s="22">
        <f>IF(H68="","",LEN(H68))</f>
        <v/>
      </c>
      <c r="J68" s="25">
        <f>IF(D68="","",IFERROR(INDEX(PlatformLimits,MATCH(D68,PlatformNames,0)),""))</f>
        <v/>
      </c>
      <c r="K68" s="24" t="n"/>
      <c r="L68" s="23" t="n"/>
      <c r="M68" s="23" t="n"/>
      <c r="N68" s="23" t="n"/>
      <c r="O68" s="24" t="n"/>
      <c r="P68" s="22">
        <f>IF(AND(D68=ExportPlatform,N68="Ready",A68&lt;&gt;""),COUNTIFS($D$7:D68,ExportPlatform,$N$7:N68,"Ready",$A$7:A68,"&lt;&gt;"),"")</f>
        <v/>
      </c>
    </row>
    <row r="69">
      <c r="A69" s="20" t="n"/>
      <c r="B69" s="21" t="n"/>
      <c r="C69" s="22">
        <f>IF(A69="","",CHOOSE(WEEKDAY(A69,2),"Mon","Tue","Wed","Thu","Fri","Sat","Sun"))</f>
        <v/>
      </c>
      <c r="D69" s="23" t="n"/>
      <c r="E69" s="23" t="n"/>
      <c r="F69" s="23" t="n"/>
      <c r="G69" s="24" t="n"/>
      <c r="H69" s="24" t="n"/>
      <c r="I69" s="22">
        <f>IF(H69="","",LEN(H69))</f>
        <v/>
      </c>
      <c r="J69" s="25">
        <f>IF(D69="","",IFERROR(INDEX(PlatformLimits,MATCH(D69,PlatformNames,0)),""))</f>
        <v/>
      </c>
      <c r="K69" s="24" t="n"/>
      <c r="L69" s="23" t="n"/>
      <c r="M69" s="23" t="n"/>
      <c r="N69" s="23" t="n"/>
      <c r="O69" s="24" t="n"/>
      <c r="P69" s="22">
        <f>IF(AND(D69=ExportPlatform,N69="Ready",A69&lt;&gt;""),COUNTIFS($D$7:D69,ExportPlatform,$N$7:N69,"Ready",$A$7:A69,"&lt;&gt;"),"")</f>
        <v/>
      </c>
    </row>
    <row r="70">
      <c r="A70" s="20" t="n"/>
      <c r="B70" s="21" t="n"/>
      <c r="C70" s="22">
        <f>IF(A70="","",CHOOSE(WEEKDAY(A70,2),"Mon","Tue","Wed","Thu","Fri","Sat","Sun"))</f>
        <v/>
      </c>
      <c r="D70" s="23" t="n"/>
      <c r="E70" s="23" t="n"/>
      <c r="F70" s="23" t="n"/>
      <c r="G70" s="24" t="n"/>
      <c r="H70" s="24" t="n"/>
      <c r="I70" s="22">
        <f>IF(H70="","",LEN(H70))</f>
        <v/>
      </c>
      <c r="J70" s="25">
        <f>IF(D70="","",IFERROR(INDEX(PlatformLimits,MATCH(D70,PlatformNames,0)),""))</f>
        <v/>
      </c>
      <c r="K70" s="24" t="n"/>
      <c r="L70" s="23" t="n"/>
      <c r="M70" s="23" t="n"/>
      <c r="N70" s="23" t="n"/>
      <c r="O70" s="24" t="n"/>
      <c r="P70" s="22">
        <f>IF(AND(D70=ExportPlatform,N70="Ready",A70&lt;&gt;""),COUNTIFS($D$7:D70,ExportPlatform,$N$7:N70,"Ready",$A$7:A70,"&lt;&gt;"),"")</f>
        <v/>
      </c>
    </row>
    <row r="71">
      <c r="A71" s="20" t="n"/>
      <c r="B71" s="21" t="n"/>
      <c r="C71" s="22">
        <f>IF(A71="","",CHOOSE(WEEKDAY(A71,2),"Mon","Tue","Wed","Thu","Fri","Sat","Sun"))</f>
        <v/>
      </c>
      <c r="D71" s="23" t="n"/>
      <c r="E71" s="23" t="n"/>
      <c r="F71" s="23" t="n"/>
      <c r="G71" s="24" t="n"/>
      <c r="H71" s="24" t="n"/>
      <c r="I71" s="22">
        <f>IF(H71="","",LEN(H71))</f>
        <v/>
      </c>
      <c r="J71" s="25">
        <f>IF(D71="","",IFERROR(INDEX(PlatformLimits,MATCH(D71,PlatformNames,0)),""))</f>
        <v/>
      </c>
      <c r="K71" s="24" t="n"/>
      <c r="L71" s="23" t="n"/>
      <c r="M71" s="23" t="n"/>
      <c r="N71" s="23" t="n"/>
      <c r="O71" s="24" t="n"/>
      <c r="P71" s="22">
        <f>IF(AND(D71=ExportPlatform,N71="Ready",A71&lt;&gt;""),COUNTIFS($D$7:D71,ExportPlatform,$N$7:N71,"Ready",$A$7:A71,"&lt;&gt;"),"")</f>
        <v/>
      </c>
    </row>
    <row r="72">
      <c r="A72" s="20" t="n"/>
      <c r="B72" s="21" t="n"/>
      <c r="C72" s="22">
        <f>IF(A72="","",CHOOSE(WEEKDAY(A72,2),"Mon","Tue","Wed","Thu","Fri","Sat","Sun"))</f>
        <v/>
      </c>
      <c r="D72" s="23" t="n"/>
      <c r="E72" s="23" t="n"/>
      <c r="F72" s="23" t="n"/>
      <c r="G72" s="24" t="n"/>
      <c r="H72" s="24" t="n"/>
      <c r="I72" s="22">
        <f>IF(H72="","",LEN(H72))</f>
        <v/>
      </c>
      <c r="J72" s="25">
        <f>IF(D72="","",IFERROR(INDEX(PlatformLimits,MATCH(D72,PlatformNames,0)),""))</f>
        <v/>
      </c>
      <c r="K72" s="24" t="n"/>
      <c r="L72" s="23" t="n"/>
      <c r="M72" s="23" t="n"/>
      <c r="N72" s="23" t="n"/>
      <c r="O72" s="24" t="n"/>
      <c r="P72" s="22">
        <f>IF(AND(D72=ExportPlatform,N72="Ready",A72&lt;&gt;""),COUNTIFS($D$7:D72,ExportPlatform,$N$7:N72,"Ready",$A$7:A72,"&lt;&gt;"),"")</f>
        <v/>
      </c>
    </row>
    <row r="73">
      <c r="A73" s="20" t="n"/>
      <c r="B73" s="21" t="n"/>
      <c r="C73" s="22">
        <f>IF(A73="","",CHOOSE(WEEKDAY(A73,2),"Mon","Tue","Wed","Thu","Fri","Sat","Sun"))</f>
        <v/>
      </c>
      <c r="D73" s="23" t="n"/>
      <c r="E73" s="23" t="n"/>
      <c r="F73" s="23" t="n"/>
      <c r="G73" s="24" t="n"/>
      <c r="H73" s="24" t="n"/>
      <c r="I73" s="22">
        <f>IF(H73="","",LEN(H73))</f>
        <v/>
      </c>
      <c r="J73" s="25">
        <f>IF(D73="","",IFERROR(INDEX(PlatformLimits,MATCH(D73,PlatformNames,0)),""))</f>
        <v/>
      </c>
      <c r="K73" s="24" t="n"/>
      <c r="L73" s="23" t="n"/>
      <c r="M73" s="23" t="n"/>
      <c r="N73" s="23" t="n"/>
      <c r="O73" s="24" t="n"/>
      <c r="P73" s="22">
        <f>IF(AND(D73=ExportPlatform,N73="Ready",A73&lt;&gt;""),COUNTIFS($D$7:D73,ExportPlatform,$N$7:N73,"Ready",$A$7:A73,"&lt;&gt;"),"")</f>
        <v/>
      </c>
    </row>
    <row r="74">
      <c r="A74" s="20" t="n"/>
      <c r="B74" s="21" t="n"/>
      <c r="C74" s="22">
        <f>IF(A74="","",CHOOSE(WEEKDAY(A74,2),"Mon","Tue","Wed","Thu","Fri","Sat","Sun"))</f>
        <v/>
      </c>
      <c r="D74" s="23" t="n"/>
      <c r="E74" s="23" t="n"/>
      <c r="F74" s="23" t="n"/>
      <c r="G74" s="24" t="n"/>
      <c r="H74" s="24" t="n"/>
      <c r="I74" s="22">
        <f>IF(H74="","",LEN(H74))</f>
        <v/>
      </c>
      <c r="J74" s="25">
        <f>IF(D74="","",IFERROR(INDEX(PlatformLimits,MATCH(D74,PlatformNames,0)),""))</f>
        <v/>
      </c>
      <c r="K74" s="24" t="n"/>
      <c r="L74" s="23" t="n"/>
      <c r="M74" s="23" t="n"/>
      <c r="N74" s="23" t="n"/>
      <c r="O74" s="24" t="n"/>
      <c r="P74" s="22">
        <f>IF(AND(D74=ExportPlatform,N74="Ready",A74&lt;&gt;""),COUNTIFS($D$7:D74,ExportPlatform,$N$7:N74,"Ready",$A$7:A74,"&lt;&gt;"),"")</f>
        <v/>
      </c>
    </row>
    <row r="75">
      <c r="A75" s="20" t="n"/>
      <c r="B75" s="21" t="n"/>
      <c r="C75" s="22">
        <f>IF(A75="","",CHOOSE(WEEKDAY(A75,2),"Mon","Tue","Wed","Thu","Fri","Sat","Sun"))</f>
        <v/>
      </c>
      <c r="D75" s="23" t="n"/>
      <c r="E75" s="23" t="n"/>
      <c r="F75" s="23" t="n"/>
      <c r="G75" s="24" t="n"/>
      <c r="H75" s="24" t="n"/>
      <c r="I75" s="22">
        <f>IF(H75="","",LEN(H75))</f>
        <v/>
      </c>
      <c r="J75" s="25">
        <f>IF(D75="","",IFERROR(INDEX(PlatformLimits,MATCH(D75,PlatformNames,0)),""))</f>
        <v/>
      </c>
      <c r="K75" s="24" t="n"/>
      <c r="L75" s="23" t="n"/>
      <c r="M75" s="23" t="n"/>
      <c r="N75" s="23" t="n"/>
      <c r="O75" s="24" t="n"/>
      <c r="P75" s="22">
        <f>IF(AND(D75=ExportPlatform,N75="Ready",A75&lt;&gt;""),COUNTIFS($D$7:D75,ExportPlatform,$N$7:N75,"Ready",$A$7:A75,"&lt;&gt;"),"")</f>
        <v/>
      </c>
    </row>
    <row r="76">
      <c r="A76" s="20" t="n"/>
      <c r="B76" s="21" t="n"/>
      <c r="C76" s="22">
        <f>IF(A76="","",CHOOSE(WEEKDAY(A76,2),"Mon","Tue","Wed","Thu","Fri","Sat","Sun"))</f>
        <v/>
      </c>
      <c r="D76" s="23" t="n"/>
      <c r="E76" s="23" t="n"/>
      <c r="F76" s="23" t="n"/>
      <c r="G76" s="24" t="n"/>
      <c r="H76" s="24" t="n"/>
      <c r="I76" s="22">
        <f>IF(H76="","",LEN(H76))</f>
        <v/>
      </c>
      <c r="J76" s="25">
        <f>IF(D76="","",IFERROR(INDEX(PlatformLimits,MATCH(D76,PlatformNames,0)),""))</f>
        <v/>
      </c>
      <c r="K76" s="24" t="n"/>
      <c r="L76" s="23" t="n"/>
      <c r="M76" s="23" t="n"/>
      <c r="N76" s="23" t="n"/>
      <c r="O76" s="24" t="n"/>
      <c r="P76" s="22">
        <f>IF(AND(D76=ExportPlatform,N76="Ready",A76&lt;&gt;""),COUNTIFS($D$7:D76,ExportPlatform,$N$7:N76,"Ready",$A$7:A76,"&lt;&gt;"),"")</f>
        <v/>
      </c>
    </row>
    <row r="77">
      <c r="A77" s="20" t="n"/>
      <c r="B77" s="21" t="n"/>
      <c r="C77" s="22">
        <f>IF(A77="","",CHOOSE(WEEKDAY(A77,2),"Mon","Tue","Wed","Thu","Fri","Sat","Sun"))</f>
        <v/>
      </c>
      <c r="D77" s="23" t="n"/>
      <c r="E77" s="23" t="n"/>
      <c r="F77" s="23" t="n"/>
      <c r="G77" s="24" t="n"/>
      <c r="H77" s="24" t="n"/>
      <c r="I77" s="22">
        <f>IF(H77="","",LEN(H77))</f>
        <v/>
      </c>
      <c r="J77" s="25">
        <f>IF(D77="","",IFERROR(INDEX(PlatformLimits,MATCH(D77,PlatformNames,0)),""))</f>
        <v/>
      </c>
      <c r="K77" s="24" t="n"/>
      <c r="L77" s="23" t="n"/>
      <c r="M77" s="23" t="n"/>
      <c r="N77" s="23" t="n"/>
      <c r="O77" s="24" t="n"/>
      <c r="P77" s="22">
        <f>IF(AND(D77=ExportPlatform,N77="Ready",A77&lt;&gt;""),COUNTIFS($D$7:D77,ExportPlatform,$N$7:N77,"Ready",$A$7:A77,"&lt;&gt;"),"")</f>
        <v/>
      </c>
    </row>
    <row r="78">
      <c r="A78" s="20" t="n"/>
      <c r="B78" s="21" t="n"/>
      <c r="C78" s="22">
        <f>IF(A78="","",CHOOSE(WEEKDAY(A78,2),"Mon","Tue","Wed","Thu","Fri","Sat","Sun"))</f>
        <v/>
      </c>
      <c r="D78" s="23" t="n"/>
      <c r="E78" s="23" t="n"/>
      <c r="F78" s="23" t="n"/>
      <c r="G78" s="24" t="n"/>
      <c r="H78" s="24" t="n"/>
      <c r="I78" s="22">
        <f>IF(H78="","",LEN(H78))</f>
        <v/>
      </c>
      <c r="J78" s="25">
        <f>IF(D78="","",IFERROR(INDEX(PlatformLimits,MATCH(D78,PlatformNames,0)),""))</f>
        <v/>
      </c>
      <c r="K78" s="24" t="n"/>
      <c r="L78" s="23" t="n"/>
      <c r="M78" s="23" t="n"/>
      <c r="N78" s="23" t="n"/>
      <c r="O78" s="24" t="n"/>
      <c r="P78" s="22">
        <f>IF(AND(D78=ExportPlatform,N78="Ready",A78&lt;&gt;""),COUNTIFS($D$7:D78,ExportPlatform,$N$7:N78,"Ready",$A$7:A78,"&lt;&gt;"),"")</f>
        <v/>
      </c>
    </row>
    <row r="79">
      <c r="A79" s="20" t="n"/>
      <c r="B79" s="21" t="n"/>
      <c r="C79" s="22">
        <f>IF(A79="","",CHOOSE(WEEKDAY(A79,2),"Mon","Tue","Wed","Thu","Fri","Sat","Sun"))</f>
        <v/>
      </c>
      <c r="D79" s="23" t="n"/>
      <c r="E79" s="23" t="n"/>
      <c r="F79" s="23" t="n"/>
      <c r="G79" s="24" t="n"/>
      <c r="H79" s="24" t="n"/>
      <c r="I79" s="22">
        <f>IF(H79="","",LEN(H79))</f>
        <v/>
      </c>
      <c r="J79" s="25">
        <f>IF(D79="","",IFERROR(INDEX(PlatformLimits,MATCH(D79,PlatformNames,0)),""))</f>
        <v/>
      </c>
      <c r="K79" s="24" t="n"/>
      <c r="L79" s="23" t="n"/>
      <c r="M79" s="23" t="n"/>
      <c r="N79" s="23" t="n"/>
      <c r="O79" s="24" t="n"/>
      <c r="P79" s="22">
        <f>IF(AND(D79=ExportPlatform,N79="Ready",A79&lt;&gt;""),COUNTIFS($D$7:D79,ExportPlatform,$N$7:N79,"Ready",$A$7:A79,"&lt;&gt;"),"")</f>
        <v/>
      </c>
    </row>
    <row r="80">
      <c r="A80" s="20" t="n"/>
      <c r="B80" s="21" t="n"/>
      <c r="C80" s="22">
        <f>IF(A80="","",CHOOSE(WEEKDAY(A80,2),"Mon","Tue","Wed","Thu","Fri","Sat","Sun"))</f>
        <v/>
      </c>
      <c r="D80" s="23" t="n"/>
      <c r="E80" s="23" t="n"/>
      <c r="F80" s="23" t="n"/>
      <c r="G80" s="24" t="n"/>
      <c r="H80" s="24" t="n"/>
      <c r="I80" s="22">
        <f>IF(H80="","",LEN(H80))</f>
        <v/>
      </c>
      <c r="J80" s="25">
        <f>IF(D80="","",IFERROR(INDEX(PlatformLimits,MATCH(D80,PlatformNames,0)),""))</f>
        <v/>
      </c>
      <c r="K80" s="24" t="n"/>
      <c r="L80" s="23" t="n"/>
      <c r="M80" s="23" t="n"/>
      <c r="N80" s="23" t="n"/>
      <c r="O80" s="24" t="n"/>
      <c r="P80" s="22">
        <f>IF(AND(D80=ExportPlatform,N80="Ready",A80&lt;&gt;""),COUNTIFS($D$7:D80,ExportPlatform,$N$7:N80,"Ready",$A$7:A80,"&lt;&gt;"),"")</f>
        <v/>
      </c>
    </row>
    <row r="81">
      <c r="A81" s="20" t="n"/>
      <c r="B81" s="21" t="n"/>
      <c r="C81" s="22">
        <f>IF(A81="","",CHOOSE(WEEKDAY(A81,2),"Mon","Tue","Wed","Thu","Fri","Sat","Sun"))</f>
        <v/>
      </c>
      <c r="D81" s="23" t="n"/>
      <c r="E81" s="23" t="n"/>
      <c r="F81" s="23" t="n"/>
      <c r="G81" s="24" t="n"/>
      <c r="H81" s="24" t="n"/>
      <c r="I81" s="22">
        <f>IF(H81="","",LEN(H81))</f>
        <v/>
      </c>
      <c r="J81" s="25">
        <f>IF(D81="","",IFERROR(INDEX(PlatformLimits,MATCH(D81,PlatformNames,0)),""))</f>
        <v/>
      </c>
      <c r="K81" s="24" t="n"/>
      <c r="L81" s="23" t="n"/>
      <c r="M81" s="23" t="n"/>
      <c r="N81" s="23" t="n"/>
      <c r="O81" s="24" t="n"/>
      <c r="P81" s="22">
        <f>IF(AND(D81=ExportPlatform,N81="Ready",A81&lt;&gt;""),COUNTIFS($D$7:D81,ExportPlatform,$N$7:N81,"Ready",$A$7:A81,"&lt;&gt;"),"")</f>
        <v/>
      </c>
    </row>
    <row r="82">
      <c r="A82" s="20" t="n"/>
      <c r="B82" s="21" t="n"/>
      <c r="C82" s="22">
        <f>IF(A82="","",CHOOSE(WEEKDAY(A82,2),"Mon","Tue","Wed","Thu","Fri","Sat","Sun"))</f>
        <v/>
      </c>
      <c r="D82" s="23" t="n"/>
      <c r="E82" s="23" t="n"/>
      <c r="F82" s="23" t="n"/>
      <c r="G82" s="24" t="n"/>
      <c r="H82" s="24" t="n"/>
      <c r="I82" s="22">
        <f>IF(H82="","",LEN(H82))</f>
        <v/>
      </c>
      <c r="J82" s="25">
        <f>IF(D82="","",IFERROR(INDEX(PlatformLimits,MATCH(D82,PlatformNames,0)),""))</f>
        <v/>
      </c>
      <c r="K82" s="24" t="n"/>
      <c r="L82" s="23" t="n"/>
      <c r="M82" s="23" t="n"/>
      <c r="N82" s="23" t="n"/>
      <c r="O82" s="24" t="n"/>
      <c r="P82" s="22">
        <f>IF(AND(D82=ExportPlatform,N82="Ready",A82&lt;&gt;""),COUNTIFS($D$7:D82,ExportPlatform,$N$7:N82,"Ready",$A$7:A82,"&lt;&gt;"),"")</f>
        <v/>
      </c>
    </row>
    <row r="83">
      <c r="A83" s="20" t="n"/>
      <c r="B83" s="21" t="n"/>
      <c r="C83" s="22">
        <f>IF(A83="","",CHOOSE(WEEKDAY(A83,2),"Mon","Tue","Wed","Thu","Fri","Sat","Sun"))</f>
        <v/>
      </c>
      <c r="D83" s="23" t="n"/>
      <c r="E83" s="23" t="n"/>
      <c r="F83" s="23" t="n"/>
      <c r="G83" s="24" t="n"/>
      <c r="H83" s="24" t="n"/>
      <c r="I83" s="22">
        <f>IF(H83="","",LEN(H83))</f>
        <v/>
      </c>
      <c r="J83" s="25">
        <f>IF(D83="","",IFERROR(INDEX(PlatformLimits,MATCH(D83,PlatformNames,0)),""))</f>
        <v/>
      </c>
      <c r="K83" s="24" t="n"/>
      <c r="L83" s="23" t="n"/>
      <c r="M83" s="23" t="n"/>
      <c r="N83" s="23" t="n"/>
      <c r="O83" s="24" t="n"/>
      <c r="P83" s="22">
        <f>IF(AND(D83=ExportPlatform,N83="Ready",A83&lt;&gt;""),COUNTIFS($D$7:D83,ExportPlatform,$N$7:N83,"Ready",$A$7:A83,"&lt;&gt;"),"")</f>
        <v/>
      </c>
    </row>
    <row r="84">
      <c r="A84" s="20" t="n"/>
      <c r="B84" s="21" t="n"/>
      <c r="C84" s="22">
        <f>IF(A84="","",CHOOSE(WEEKDAY(A84,2),"Mon","Tue","Wed","Thu","Fri","Sat","Sun"))</f>
        <v/>
      </c>
      <c r="D84" s="23" t="n"/>
      <c r="E84" s="23" t="n"/>
      <c r="F84" s="23" t="n"/>
      <c r="G84" s="24" t="n"/>
      <c r="H84" s="24" t="n"/>
      <c r="I84" s="22">
        <f>IF(H84="","",LEN(H84))</f>
        <v/>
      </c>
      <c r="J84" s="25">
        <f>IF(D84="","",IFERROR(INDEX(PlatformLimits,MATCH(D84,PlatformNames,0)),""))</f>
        <v/>
      </c>
      <c r="K84" s="24" t="n"/>
      <c r="L84" s="23" t="n"/>
      <c r="M84" s="23" t="n"/>
      <c r="N84" s="23" t="n"/>
      <c r="O84" s="24" t="n"/>
      <c r="P84" s="22">
        <f>IF(AND(D84=ExportPlatform,N84="Ready",A84&lt;&gt;""),COUNTIFS($D$7:D84,ExportPlatform,$N$7:N84,"Ready",$A$7:A84,"&lt;&gt;"),"")</f>
        <v/>
      </c>
    </row>
    <row r="85">
      <c r="A85" s="20" t="n"/>
      <c r="B85" s="21" t="n"/>
      <c r="C85" s="22">
        <f>IF(A85="","",CHOOSE(WEEKDAY(A85,2),"Mon","Tue","Wed","Thu","Fri","Sat","Sun"))</f>
        <v/>
      </c>
      <c r="D85" s="23" t="n"/>
      <c r="E85" s="23" t="n"/>
      <c r="F85" s="23" t="n"/>
      <c r="G85" s="24" t="n"/>
      <c r="H85" s="24" t="n"/>
      <c r="I85" s="22">
        <f>IF(H85="","",LEN(H85))</f>
        <v/>
      </c>
      <c r="J85" s="25">
        <f>IF(D85="","",IFERROR(INDEX(PlatformLimits,MATCH(D85,PlatformNames,0)),""))</f>
        <v/>
      </c>
      <c r="K85" s="24" t="n"/>
      <c r="L85" s="23" t="n"/>
      <c r="M85" s="23" t="n"/>
      <c r="N85" s="23" t="n"/>
      <c r="O85" s="24" t="n"/>
      <c r="P85" s="22">
        <f>IF(AND(D85=ExportPlatform,N85="Ready",A85&lt;&gt;""),COUNTIFS($D$7:D85,ExportPlatform,$N$7:N85,"Ready",$A$7:A85,"&lt;&gt;"),"")</f>
        <v/>
      </c>
    </row>
    <row r="86">
      <c r="A86" s="20" t="n"/>
      <c r="B86" s="21" t="n"/>
      <c r="C86" s="22">
        <f>IF(A86="","",CHOOSE(WEEKDAY(A86,2),"Mon","Tue","Wed","Thu","Fri","Sat","Sun"))</f>
        <v/>
      </c>
      <c r="D86" s="23" t="n"/>
      <c r="E86" s="23" t="n"/>
      <c r="F86" s="23" t="n"/>
      <c r="G86" s="24" t="n"/>
      <c r="H86" s="24" t="n"/>
      <c r="I86" s="22">
        <f>IF(H86="","",LEN(H86))</f>
        <v/>
      </c>
      <c r="J86" s="25">
        <f>IF(D86="","",IFERROR(INDEX(PlatformLimits,MATCH(D86,PlatformNames,0)),""))</f>
        <v/>
      </c>
      <c r="K86" s="24" t="n"/>
      <c r="L86" s="23" t="n"/>
      <c r="M86" s="23" t="n"/>
      <c r="N86" s="23" t="n"/>
      <c r="O86" s="24" t="n"/>
      <c r="P86" s="22">
        <f>IF(AND(D86=ExportPlatform,N86="Ready",A86&lt;&gt;""),COUNTIFS($D$7:D86,ExportPlatform,$N$7:N86,"Ready",$A$7:A86,"&lt;&gt;"),"")</f>
        <v/>
      </c>
    </row>
    <row r="87">
      <c r="A87" s="20" t="n"/>
      <c r="B87" s="21" t="n"/>
      <c r="C87" s="22">
        <f>IF(A87="","",CHOOSE(WEEKDAY(A87,2),"Mon","Tue","Wed","Thu","Fri","Sat","Sun"))</f>
        <v/>
      </c>
      <c r="D87" s="23" t="n"/>
      <c r="E87" s="23" t="n"/>
      <c r="F87" s="23" t="n"/>
      <c r="G87" s="24" t="n"/>
      <c r="H87" s="24" t="n"/>
      <c r="I87" s="22">
        <f>IF(H87="","",LEN(H87))</f>
        <v/>
      </c>
      <c r="J87" s="25">
        <f>IF(D87="","",IFERROR(INDEX(PlatformLimits,MATCH(D87,PlatformNames,0)),""))</f>
        <v/>
      </c>
      <c r="K87" s="24" t="n"/>
      <c r="L87" s="23" t="n"/>
      <c r="M87" s="23" t="n"/>
      <c r="N87" s="23" t="n"/>
      <c r="O87" s="24" t="n"/>
      <c r="P87" s="22">
        <f>IF(AND(D87=ExportPlatform,N87="Ready",A87&lt;&gt;""),COUNTIFS($D$7:D87,ExportPlatform,$N$7:N87,"Ready",$A$7:A87,"&lt;&gt;"),"")</f>
        <v/>
      </c>
    </row>
    <row r="88">
      <c r="A88" s="20" t="n"/>
      <c r="B88" s="21" t="n"/>
      <c r="C88" s="22">
        <f>IF(A88="","",CHOOSE(WEEKDAY(A88,2),"Mon","Tue","Wed","Thu","Fri","Sat","Sun"))</f>
        <v/>
      </c>
      <c r="D88" s="23" t="n"/>
      <c r="E88" s="23" t="n"/>
      <c r="F88" s="23" t="n"/>
      <c r="G88" s="24" t="n"/>
      <c r="H88" s="24" t="n"/>
      <c r="I88" s="22">
        <f>IF(H88="","",LEN(H88))</f>
        <v/>
      </c>
      <c r="J88" s="25">
        <f>IF(D88="","",IFERROR(INDEX(PlatformLimits,MATCH(D88,PlatformNames,0)),""))</f>
        <v/>
      </c>
      <c r="K88" s="24" t="n"/>
      <c r="L88" s="23" t="n"/>
      <c r="M88" s="23" t="n"/>
      <c r="N88" s="23" t="n"/>
      <c r="O88" s="24" t="n"/>
      <c r="P88" s="22">
        <f>IF(AND(D88=ExportPlatform,N88="Ready",A88&lt;&gt;""),COUNTIFS($D$7:D88,ExportPlatform,$N$7:N88,"Ready",$A$7:A88,"&lt;&gt;"),"")</f>
        <v/>
      </c>
    </row>
    <row r="89">
      <c r="A89" s="20" t="n"/>
      <c r="B89" s="21" t="n"/>
      <c r="C89" s="22">
        <f>IF(A89="","",CHOOSE(WEEKDAY(A89,2),"Mon","Tue","Wed","Thu","Fri","Sat","Sun"))</f>
        <v/>
      </c>
      <c r="D89" s="23" t="n"/>
      <c r="E89" s="23" t="n"/>
      <c r="F89" s="23" t="n"/>
      <c r="G89" s="24" t="n"/>
      <c r="H89" s="24" t="n"/>
      <c r="I89" s="22">
        <f>IF(H89="","",LEN(H89))</f>
        <v/>
      </c>
      <c r="J89" s="25">
        <f>IF(D89="","",IFERROR(INDEX(PlatformLimits,MATCH(D89,PlatformNames,0)),""))</f>
        <v/>
      </c>
      <c r="K89" s="24" t="n"/>
      <c r="L89" s="23" t="n"/>
      <c r="M89" s="23" t="n"/>
      <c r="N89" s="23" t="n"/>
      <c r="O89" s="24" t="n"/>
      <c r="P89" s="22">
        <f>IF(AND(D89=ExportPlatform,N89="Ready",A89&lt;&gt;""),COUNTIFS($D$7:D89,ExportPlatform,$N$7:N89,"Ready",$A$7:A89,"&lt;&gt;"),"")</f>
        <v/>
      </c>
    </row>
    <row r="90">
      <c r="A90" s="20" t="n"/>
      <c r="B90" s="21" t="n"/>
      <c r="C90" s="22">
        <f>IF(A90="","",CHOOSE(WEEKDAY(A90,2),"Mon","Tue","Wed","Thu","Fri","Sat","Sun"))</f>
        <v/>
      </c>
      <c r="D90" s="23" t="n"/>
      <c r="E90" s="23" t="n"/>
      <c r="F90" s="23" t="n"/>
      <c r="G90" s="24" t="n"/>
      <c r="H90" s="24" t="n"/>
      <c r="I90" s="22">
        <f>IF(H90="","",LEN(H90))</f>
        <v/>
      </c>
      <c r="J90" s="25">
        <f>IF(D90="","",IFERROR(INDEX(PlatformLimits,MATCH(D90,PlatformNames,0)),""))</f>
        <v/>
      </c>
      <c r="K90" s="24" t="n"/>
      <c r="L90" s="23" t="n"/>
      <c r="M90" s="23" t="n"/>
      <c r="N90" s="23" t="n"/>
      <c r="O90" s="24" t="n"/>
      <c r="P90" s="22">
        <f>IF(AND(D90=ExportPlatform,N90="Ready",A90&lt;&gt;""),COUNTIFS($D$7:D90,ExportPlatform,$N$7:N90,"Ready",$A$7:A90,"&lt;&gt;"),"")</f>
        <v/>
      </c>
    </row>
    <row r="91">
      <c r="A91" s="20" t="n"/>
      <c r="B91" s="21" t="n"/>
      <c r="C91" s="22">
        <f>IF(A91="","",CHOOSE(WEEKDAY(A91,2),"Mon","Tue","Wed","Thu","Fri","Sat","Sun"))</f>
        <v/>
      </c>
      <c r="D91" s="23" t="n"/>
      <c r="E91" s="23" t="n"/>
      <c r="F91" s="23" t="n"/>
      <c r="G91" s="24" t="n"/>
      <c r="H91" s="24" t="n"/>
      <c r="I91" s="22">
        <f>IF(H91="","",LEN(H91))</f>
        <v/>
      </c>
      <c r="J91" s="25">
        <f>IF(D91="","",IFERROR(INDEX(PlatformLimits,MATCH(D91,PlatformNames,0)),""))</f>
        <v/>
      </c>
      <c r="K91" s="24" t="n"/>
      <c r="L91" s="23" t="n"/>
      <c r="M91" s="23" t="n"/>
      <c r="N91" s="23" t="n"/>
      <c r="O91" s="24" t="n"/>
      <c r="P91" s="22">
        <f>IF(AND(D91=ExportPlatform,N91="Ready",A91&lt;&gt;""),COUNTIFS($D$7:D91,ExportPlatform,$N$7:N91,"Ready",$A$7:A91,"&lt;&gt;"),"")</f>
        <v/>
      </c>
    </row>
    <row r="92">
      <c r="A92" s="20" t="n"/>
      <c r="B92" s="21" t="n"/>
      <c r="C92" s="22">
        <f>IF(A92="","",CHOOSE(WEEKDAY(A92,2),"Mon","Tue","Wed","Thu","Fri","Sat","Sun"))</f>
        <v/>
      </c>
      <c r="D92" s="23" t="n"/>
      <c r="E92" s="23" t="n"/>
      <c r="F92" s="23" t="n"/>
      <c r="G92" s="24" t="n"/>
      <c r="H92" s="24" t="n"/>
      <c r="I92" s="22">
        <f>IF(H92="","",LEN(H92))</f>
        <v/>
      </c>
      <c r="J92" s="25">
        <f>IF(D92="","",IFERROR(INDEX(PlatformLimits,MATCH(D92,PlatformNames,0)),""))</f>
        <v/>
      </c>
      <c r="K92" s="24" t="n"/>
      <c r="L92" s="23" t="n"/>
      <c r="M92" s="23" t="n"/>
      <c r="N92" s="23" t="n"/>
      <c r="O92" s="24" t="n"/>
      <c r="P92" s="22">
        <f>IF(AND(D92=ExportPlatform,N92="Ready",A92&lt;&gt;""),COUNTIFS($D$7:D92,ExportPlatform,$N$7:N92,"Ready",$A$7:A92,"&lt;&gt;"),"")</f>
        <v/>
      </c>
    </row>
    <row r="93">
      <c r="A93" s="20" t="n"/>
      <c r="B93" s="21" t="n"/>
      <c r="C93" s="22">
        <f>IF(A93="","",CHOOSE(WEEKDAY(A93,2),"Mon","Tue","Wed","Thu","Fri","Sat","Sun"))</f>
        <v/>
      </c>
      <c r="D93" s="23" t="n"/>
      <c r="E93" s="23" t="n"/>
      <c r="F93" s="23" t="n"/>
      <c r="G93" s="24" t="n"/>
      <c r="H93" s="24" t="n"/>
      <c r="I93" s="22">
        <f>IF(H93="","",LEN(H93))</f>
        <v/>
      </c>
      <c r="J93" s="25">
        <f>IF(D93="","",IFERROR(INDEX(PlatformLimits,MATCH(D93,PlatformNames,0)),""))</f>
        <v/>
      </c>
      <c r="K93" s="24" t="n"/>
      <c r="L93" s="23" t="n"/>
      <c r="M93" s="23" t="n"/>
      <c r="N93" s="23" t="n"/>
      <c r="O93" s="24" t="n"/>
      <c r="P93" s="22">
        <f>IF(AND(D93=ExportPlatform,N93="Ready",A93&lt;&gt;""),COUNTIFS($D$7:D93,ExportPlatform,$N$7:N93,"Ready",$A$7:A93,"&lt;&gt;"),"")</f>
        <v/>
      </c>
    </row>
    <row r="94">
      <c r="A94" s="20" t="n"/>
      <c r="B94" s="21" t="n"/>
      <c r="C94" s="22">
        <f>IF(A94="","",CHOOSE(WEEKDAY(A94,2),"Mon","Tue","Wed","Thu","Fri","Sat","Sun"))</f>
        <v/>
      </c>
      <c r="D94" s="23" t="n"/>
      <c r="E94" s="23" t="n"/>
      <c r="F94" s="23" t="n"/>
      <c r="G94" s="24" t="n"/>
      <c r="H94" s="24" t="n"/>
      <c r="I94" s="22">
        <f>IF(H94="","",LEN(H94))</f>
        <v/>
      </c>
      <c r="J94" s="25">
        <f>IF(D94="","",IFERROR(INDEX(PlatformLimits,MATCH(D94,PlatformNames,0)),""))</f>
        <v/>
      </c>
      <c r="K94" s="24" t="n"/>
      <c r="L94" s="23" t="n"/>
      <c r="M94" s="23" t="n"/>
      <c r="N94" s="23" t="n"/>
      <c r="O94" s="24" t="n"/>
      <c r="P94" s="22">
        <f>IF(AND(D94=ExportPlatform,N94="Ready",A94&lt;&gt;""),COUNTIFS($D$7:D94,ExportPlatform,$N$7:N94,"Ready",$A$7:A94,"&lt;&gt;"),"")</f>
        <v/>
      </c>
    </row>
    <row r="95">
      <c r="A95" s="20" t="n"/>
      <c r="B95" s="21" t="n"/>
      <c r="C95" s="22">
        <f>IF(A95="","",CHOOSE(WEEKDAY(A95,2),"Mon","Tue","Wed","Thu","Fri","Sat","Sun"))</f>
        <v/>
      </c>
      <c r="D95" s="23" t="n"/>
      <c r="E95" s="23" t="n"/>
      <c r="F95" s="23" t="n"/>
      <c r="G95" s="24" t="n"/>
      <c r="H95" s="24" t="n"/>
      <c r="I95" s="22">
        <f>IF(H95="","",LEN(H95))</f>
        <v/>
      </c>
      <c r="J95" s="25">
        <f>IF(D95="","",IFERROR(INDEX(PlatformLimits,MATCH(D95,PlatformNames,0)),""))</f>
        <v/>
      </c>
      <c r="K95" s="24" t="n"/>
      <c r="L95" s="23" t="n"/>
      <c r="M95" s="23" t="n"/>
      <c r="N95" s="23" t="n"/>
      <c r="O95" s="24" t="n"/>
      <c r="P95" s="22">
        <f>IF(AND(D95=ExportPlatform,N95="Ready",A95&lt;&gt;""),COUNTIFS($D$7:D95,ExportPlatform,$N$7:N95,"Ready",$A$7:A95,"&lt;&gt;"),"")</f>
        <v/>
      </c>
    </row>
    <row r="96">
      <c r="A96" s="20" t="n"/>
      <c r="B96" s="21" t="n"/>
      <c r="C96" s="22">
        <f>IF(A96="","",CHOOSE(WEEKDAY(A96,2),"Mon","Tue","Wed","Thu","Fri","Sat","Sun"))</f>
        <v/>
      </c>
      <c r="D96" s="23" t="n"/>
      <c r="E96" s="23" t="n"/>
      <c r="F96" s="23" t="n"/>
      <c r="G96" s="24" t="n"/>
      <c r="H96" s="24" t="n"/>
      <c r="I96" s="22">
        <f>IF(H96="","",LEN(H96))</f>
        <v/>
      </c>
      <c r="J96" s="25">
        <f>IF(D96="","",IFERROR(INDEX(PlatformLimits,MATCH(D96,PlatformNames,0)),""))</f>
        <v/>
      </c>
      <c r="K96" s="24" t="n"/>
      <c r="L96" s="23" t="n"/>
      <c r="M96" s="23" t="n"/>
      <c r="N96" s="23" t="n"/>
      <c r="O96" s="24" t="n"/>
      <c r="P96" s="22">
        <f>IF(AND(D96=ExportPlatform,N96="Ready",A96&lt;&gt;""),COUNTIFS($D$7:D96,ExportPlatform,$N$7:N96,"Ready",$A$7:A96,"&lt;&gt;"),"")</f>
        <v/>
      </c>
    </row>
    <row r="97">
      <c r="A97" s="20" t="n"/>
      <c r="B97" s="21" t="n"/>
      <c r="C97" s="22">
        <f>IF(A97="","",CHOOSE(WEEKDAY(A97,2),"Mon","Tue","Wed","Thu","Fri","Sat","Sun"))</f>
        <v/>
      </c>
      <c r="D97" s="23" t="n"/>
      <c r="E97" s="23" t="n"/>
      <c r="F97" s="23" t="n"/>
      <c r="G97" s="24" t="n"/>
      <c r="H97" s="24" t="n"/>
      <c r="I97" s="22">
        <f>IF(H97="","",LEN(H97))</f>
        <v/>
      </c>
      <c r="J97" s="25">
        <f>IF(D97="","",IFERROR(INDEX(PlatformLimits,MATCH(D97,PlatformNames,0)),""))</f>
        <v/>
      </c>
      <c r="K97" s="24" t="n"/>
      <c r="L97" s="23" t="n"/>
      <c r="M97" s="23" t="n"/>
      <c r="N97" s="23" t="n"/>
      <c r="O97" s="24" t="n"/>
      <c r="P97" s="22">
        <f>IF(AND(D97=ExportPlatform,N97="Ready",A97&lt;&gt;""),COUNTIFS($D$7:D97,ExportPlatform,$N$7:N97,"Ready",$A$7:A97,"&lt;&gt;"),"")</f>
        <v/>
      </c>
    </row>
    <row r="98">
      <c r="A98" s="20" t="n"/>
      <c r="B98" s="21" t="n"/>
      <c r="C98" s="22">
        <f>IF(A98="","",CHOOSE(WEEKDAY(A98,2),"Mon","Tue","Wed","Thu","Fri","Sat","Sun"))</f>
        <v/>
      </c>
      <c r="D98" s="23" t="n"/>
      <c r="E98" s="23" t="n"/>
      <c r="F98" s="23" t="n"/>
      <c r="G98" s="24" t="n"/>
      <c r="H98" s="24" t="n"/>
      <c r="I98" s="22">
        <f>IF(H98="","",LEN(H98))</f>
        <v/>
      </c>
      <c r="J98" s="25">
        <f>IF(D98="","",IFERROR(INDEX(PlatformLimits,MATCH(D98,PlatformNames,0)),""))</f>
        <v/>
      </c>
      <c r="K98" s="24" t="n"/>
      <c r="L98" s="23" t="n"/>
      <c r="M98" s="23" t="n"/>
      <c r="N98" s="23" t="n"/>
      <c r="O98" s="24" t="n"/>
      <c r="P98" s="22">
        <f>IF(AND(D98=ExportPlatform,N98="Ready",A98&lt;&gt;""),COUNTIFS($D$7:D98,ExportPlatform,$N$7:N98,"Ready",$A$7:A98,"&lt;&gt;"),"")</f>
        <v/>
      </c>
    </row>
    <row r="99">
      <c r="A99" s="20" t="n"/>
      <c r="B99" s="21" t="n"/>
      <c r="C99" s="22">
        <f>IF(A99="","",CHOOSE(WEEKDAY(A99,2),"Mon","Tue","Wed","Thu","Fri","Sat","Sun"))</f>
        <v/>
      </c>
      <c r="D99" s="23" t="n"/>
      <c r="E99" s="23" t="n"/>
      <c r="F99" s="23" t="n"/>
      <c r="G99" s="24" t="n"/>
      <c r="H99" s="24" t="n"/>
      <c r="I99" s="22">
        <f>IF(H99="","",LEN(H99))</f>
        <v/>
      </c>
      <c r="J99" s="25">
        <f>IF(D99="","",IFERROR(INDEX(PlatformLimits,MATCH(D99,PlatformNames,0)),""))</f>
        <v/>
      </c>
      <c r="K99" s="24" t="n"/>
      <c r="L99" s="23" t="n"/>
      <c r="M99" s="23" t="n"/>
      <c r="N99" s="23" t="n"/>
      <c r="O99" s="24" t="n"/>
      <c r="P99" s="22">
        <f>IF(AND(D99=ExportPlatform,N99="Ready",A99&lt;&gt;""),COUNTIFS($D$7:D99,ExportPlatform,$N$7:N99,"Ready",$A$7:A99,"&lt;&gt;"),"")</f>
        <v/>
      </c>
    </row>
    <row r="100">
      <c r="A100" s="20" t="n"/>
      <c r="B100" s="21" t="n"/>
      <c r="C100" s="22">
        <f>IF(A100="","",CHOOSE(WEEKDAY(A100,2),"Mon","Tue","Wed","Thu","Fri","Sat","Sun"))</f>
        <v/>
      </c>
      <c r="D100" s="23" t="n"/>
      <c r="E100" s="23" t="n"/>
      <c r="F100" s="23" t="n"/>
      <c r="G100" s="24" t="n"/>
      <c r="H100" s="24" t="n"/>
      <c r="I100" s="22">
        <f>IF(H100="","",LEN(H100))</f>
        <v/>
      </c>
      <c r="J100" s="25">
        <f>IF(D100="","",IFERROR(INDEX(PlatformLimits,MATCH(D100,PlatformNames,0)),""))</f>
        <v/>
      </c>
      <c r="K100" s="24" t="n"/>
      <c r="L100" s="23" t="n"/>
      <c r="M100" s="23" t="n"/>
      <c r="N100" s="23" t="n"/>
      <c r="O100" s="24" t="n"/>
      <c r="P100" s="22">
        <f>IF(AND(D100=ExportPlatform,N100="Ready",A100&lt;&gt;""),COUNTIFS($D$7:D100,ExportPlatform,$N$7:N100,"Ready",$A$7:A100,"&lt;&gt;"),"")</f>
        <v/>
      </c>
    </row>
    <row r="101">
      <c r="A101" s="20" t="n"/>
      <c r="B101" s="21" t="n"/>
      <c r="C101" s="22">
        <f>IF(A101="","",CHOOSE(WEEKDAY(A101,2),"Mon","Tue","Wed","Thu","Fri","Sat","Sun"))</f>
        <v/>
      </c>
      <c r="D101" s="23" t="n"/>
      <c r="E101" s="23" t="n"/>
      <c r="F101" s="23" t="n"/>
      <c r="G101" s="24" t="n"/>
      <c r="H101" s="24" t="n"/>
      <c r="I101" s="22">
        <f>IF(H101="","",LEN(H101))</f>
        <v/>
      </c>
      <c r="J101" s="25">
        <f>IF(D101="","",IFERROR(INDEX(PlatformLimits,MATCH(D101,PlatformNames,0)),""))</f>
        <v/>
      </c>
      <c r="K101" s="24" t="n"/>
      <c r="L101" s="23" t="n"/>
      <c r="M101" s="23" t="n"/>
      <c r="N101" s="23" t="n"/>
      <c r="O101" s="24" t="n"/>
      <c r="P101" s="22">
        <f>IF(AND(D101=ExportPlatform,N101="Ready",A101&lt;&gt;""),COUNTIFS($D$7:D101,ExportPlatform,$N$7:N101,"Ready",$A$7:A101,"&lt;&gt;"),"")</f>
        <v/>
      </c>
    </row>
    <row r="102">
      <c r="A102" s="20" t="n"/>
      <c r="B102" s="21" t="n"/>
      <c r="C102" s="22">
        <f>IF(A102="","",CHOOSE(WEEKDAY(A102,2),"Mon","Tue","Wed","Thu","Fri","Sat","Sun"))</f>
        <v/>
      </c>
      <c r="D102" s="23" t="n"/>
      <c r="E102" s="23" t="n"/>
      <c r="F102" s="23" t="n"/>
      <c r="G102" s="24" t="n"/>
      <c r="H102" s="24" t="n"/>
      <c r="I102" s="22">
        <f>IF(H102="","",LEN(H102))</f>
        <v/>
      </c>
      <c r="J102" s="25">
        <f>IF(D102="","",IFERROR(INDEX(PlatformLimits,MATCH(D102,PlatformNames,0)),""))</f>
        <v/>
      </c>
      <c r="K102" s="24" t="n"/>
      <c r="L102" s="23" t="n"/>
      <c r="M102" s="23" t="n"/>
      <c r="N102" s="23" t="n"/>
      <c r="O102" s="24" t="n"/>
      <c r="P102" s="22">
        <f>IF(AND(D102=ExportPlatform,N102="Ready",A102&lt;&gt;""),COUNTIFS($D$7:D102,ExportPlatform,$N$7:N102,"Ready",$A$7:A102,"&lt;&gt;"),"")</f>
        <v/>
      </c>
    </row>
    <row r="103">
      <c r="A103" s="20" t="n"/>
      <c r="B103" s="21" t="n"/>
      <c r="C103" s="22">
        <f>IF(A103="","",CHOOSE(WEEKDAY(A103,2),"Mon","Tue","Wed","Thu","Fri","Sat","Sun"))</f>
        <v/>
      </c>
      <c r="D103" s="23" t="n"/>
      <c r="E103" s="23" t="n"/>
      <c r="F103" s="23" t="n"/>
      <c r="G103" s="24" t="n"/>
      <c r="H103" s="24" t="n"/>
      <c r="I103" s="22">
        <f>IF(H103="","",LEN(H103))</f>
        <v/>
      </c>
      <c r="J103" s="25">
        <f>IF(D103="","",IFERROR(INDEX(PlatformLimits,MATCH(D103,PlatformNames,0)),""))</f>
        <v/>
      </c>
      <c r="K103" s="24" t="n"/>
      <c r="L103" s="23" t="n"/>
      <c r="M103" s="23" t="n"/>
      <c r="N103" s="23" t="n"/>
      <c r="O103" s="24" t="n"/>
      <c r="P103" s="22">
        <f>IF(AND(D103=ExportPlatform,N103="Ready",A103&lt;&gt;""),COUNTIFS($D$7:D103,ExportPlatform,$N$7:N103,"Ready",$A$7:A103,"&lt;&gt;"),"")</f>
        <v/>
      </c>
    </row>
    <row r="104">
      <c r="A104" s="20" t="n"/>
      <c r="B104" s="21" t="n"/>
      <c r="C104" s="22">
        <f>IF(A104="","",CHOOSE(WEEKDAY(A104,2),"Mon","Tue","Wed","Thu","Fri","Sat","Sun"))</f>
        <v/>
      </c>
      <c r="D104" s="23" t="n"/>
      <c r="E104" s="23" t="n"/>
      <c r="F104" s="23" t="n"/>
      <c r="G104" s="24" t="n"/>
      <c r="H104" s="24" t="n"/>
      <c r="I104" s="22">
        <f>IF(H104="","",LEN(H104))</f>
        <v/>
      </c>
      <c r="J104" s="25">
        <f>IF(D104="","",IFERROR(INDEX(PlatformLimits,MATCH(D104,PlatformNames,0)),""))</f>
        <v/>
      </c>
      <c r="K104" s="24" t="n"/>
      <c r="L104" s="23" t="n"/>
      <c r="M104" s="23" t="n"/>
      <c r="N104" s="23" t="n"/>
      <c r="O104" s="24" t="n"/>
      <c r="P104" s="22">
        <f>IF(AND(D104=ExportPlatform,N104="Ready",A104&lt;&gt;""),COUNTIFS($D$7:D104,ExportPlatform,$N$7:N104,"Ready",$A$7:A104,"&lt;&gt;"),"")</f>
        <v/>
      </c>
    </row>
    <row r="105">
      <c r="A105" s="20" t="n"/>
      <c r="B105" s="21" t="n"/>
      <c r="C105" s="22">
        <f>IF(A105="","",CHOOSE(WEEKDAY(A105,2),"Mon","Tue","Wed","Thu","Fri","Sat","Sun"))</f>
        <v/>
      </c>
      <c r="D105" s="23" t="n"/>
      <c r="E105" s="23" t="n"/>
      <c r="F105" s="23" t="n"/>
      <c r="G105" s="24" t="n"/>
      <c r="H105" s="24" t="n"/>
      <c r="I105" s="22">
        <f>IF(H105="","",LEN(H105))</f>
        <v/>
      </c>
      <c r="J105" s="25">
        <f>IF(D105="","",IFERROR(INDEX(PlatformLimits,MATCH(D105,PlatformNames,0)),""))</f>
        <v/>
      </c>
      <c r="K105" s="24" t="n"/>
      <c r="L105" s="23" t="n"/>
      <c r="M105" s="23" t="n"/>
      <c r="N105" s="23" t="n"/>
      <c r="O105" s="24" t="n"/>
      <c r="P105" s="22">
        <f>IF(AND(D105=ExportPlatform,N105="Ready",A105&lt;&gt;""),COUNTIFS($D$7:D105,ExportPlatform,$N$7:N105,"Ready",$A$7:A105,"&lt;&gt;"),"")</f>
        <v/>
      </c>
    </row>
    <row r="106">
      <c r="A106" s="20" t="n"/>
      <c r="B106" s="21" t="n"/>
      <c r="C106" s="22">
        <f>IF(A106="","",CHOOSE(WEEKDAY(A106,2),"Mon","Tue","Wed","Thu","Fri","Sat","Sun"))</f>
        <v/>
      </c>
      <c r="D106" s="23" t="n"/>
      <c r="E106" s="23" t="n"/>
      <c r="F106" s="23" t="n"/>
      <c r="G106" s="24" t="n"/>
      <c r="H106" s="24" t="n"/>
      <c r="I106" s="22">
        <f>IF(H106="","",LEN(H106))</f>
        <v/>
      </c>
      <c r="J106" s="25">
        <f>IF(D106="","",IFERROR(INDEX(PlatformLimits,MATCH(D106,PlatformNames,0)),""))</f>
        <v/>
      </c>
      <c r="K106" s="24" t="n"/>
      <c r="L106" s="23" t="n"/>
      <c r="M106" s="23" t="n"/>
      <c r="N106" s="23" t="n"/>
      <c r="O106" s="24" t="n"/>
      <c r="P106" s="22">
        <f>IF(AND(D106=ExportPlatform,N106="Ready",A106&lt;&gt;""),COUNTIFS($D$7:D106,ExportPlatform,$N$7:N106,"Ready",$A$7:A106,"&lt;&gt;"),"")</f>
        <v/>
      </c>
    </row>
    <row r="107">
      <c r="A107" s="20" t="n"/>
      <c r="B107" s="21" t="n"/>
      <c r="C107" s="22">
        <f>IF(A107="","",CHOOSE(WEEKDAY(A107,2),"Mon","Tue","Wed","Thu","Fri","Sat","Sun"))</f>
        <v/>
      </c>
      <c r="D107" s="23" t="n"/>
      <c r="E107" s="23" t="n"/>
      <c r="F107" s="23" t="n"/>
      <c r="G107" s="24" t="n"/>
      <c r="H107" s="24" t="n"/>
      <c r="I107" s="22">
        <f>IF(H107="","",LEN(H107))</f>
        <v/>
      </c>
      <c r="J107" s="25">
        <f>IF(D107="","",IFERROR(INDEX(PlatformLimits,MATCH(D107,PlatformNames,0)),""))</f>
        <v/>
      </c>
      <c r="K107" s="24" t="n"/>
      <c r="L107" s="23" t="n"/>
      <c r="M107" s="23" t="n"/>
      <c r="N107" s="23" t="n"/>
      <c r="O107" s="24" t="n"/>
      <c r="P107" s="22">
        <f>IF(AND(D107=ExportPlatform,N107="Ready",A107&lt;&gt;""),COUNTIFS($D$7:D107,ExportPlatform,$N$7:N107,"Ready",$A$7:A107,"&lt;&gt;"),"")</f>
        <v/>
      </c>
    </row>
    <row r="108">
      <c r="A108" s="20" t="n"/>
      <c r="B108" s="21" t="n"/>
      <c r="C108" s="22">
        <f>IF(A108="","",CHOOSE(WEEKDAY(A108,2),"Mon","Tue","Wed","Thu","Fri","Sat","Sun"))</f>
        <v/>
      </c>
      <c r="D108" s="23" t="n"/>
      <c r="E108" s="23" t="n"/>
      <c r="F108" s="23" t="n"/>
      <c r="G108" s="24" t="n"/>
      <c r="H108" s="24" t="n"/>
      <c r="I108" s="22">
        <f>IF(H108="","",LEN(H108))</f>
        <v/>
      </c>
      <c r="J108" s="25">
        <f>IF(D108="","",IFERROR(INDEX(PlatformLimits,MATCH(D108,PlatformNames,0)),""))</f>
        <v/>
      </c>
      <c r="K108" s="24" t="n"/>
      <c r="L108" s="23" t="n"/>
      <c r="M108" s="23" t="n"/>
      <c r="N108" s="23" t="n"/>
      <c r="O108" s="24" t="n"/>
      <c r="P108" s="22">
        <f>IF(AND(D108=ExportPlatform,N108="Ready",A108&lt;&gt;""),COUNTIFS($D$7:D108,ExportPlatform,$N$7:N108,"Ready",$A$7:A108,"&lt;&gt;"),"")</f>
        <v/>
      </c>
    </row>
    <row r="109">
      <c r="A109" s="20" t="n"/>
      <c r="B109" s="21" t="n"/>
      <c r="C109" s="22">
        <f>IF(A109="","",CHOOSE(WEEKDAY(A109,2),"Mon","Tue","Wed","Thu","Fri","Sat","Sun"))</f>
        <v/>
      </c>
      <c r="D109" s="23" t="n"/>
      <c r="E109" s="23" t="n"/>
      <c r="F109" s="23" t="n"/>
      <c r="G109" s="24" t="n"/>
      <c r="H109" s="24" t="n"/>
      <c r="I109" s="22">
        <f>IF(H109="","",LEN(H109))</f>
        <v/>
      </c>
      <c r="J109" s="25">
        <f>IF(D109="","",IFERROR(INDEX(PlatformLimits,MATCH(D109,PlatformNames,0)),""))</f>
        <v/>
      </c>
      <c r="K109" s="24" t="n"/>
      <c r="L109" s="23" t="n"/>
      <c r="M109" s="23" t="n"/>
      <c r="N109" s="23" t="n"/>
      <c r="O109" s="24" t="n"/>
      <c r="P109" s="22">
        <f>IF(AND(D109=ExportPlatform,N109="Ready",A109&lt;&gt;""),COUNTIFS($D$7:D109,ExportPlatform,$N$7:N109,"Ready",$A$7:A109,"&lt;&gt;"),"")</f>
        <v/>
      </c>
    </row>
    <row r="110">
      <c r="A110" s="20" t="n"/>
      <c r="B110" s="21" t="n"/>
      <c r="C110" s="22">
        <f>IF(A110="","",CHOOSE(WEEKDAY(A110,2),"Mon","Tue","Wed","Thu","Fri","Sat","Sun"))</f>
        <v/>
      </c>
      <c r="D110" s="23" t="n"/>
      <c r="E110" s="23" t="n"/>
      <c r="F110" s="23" t="n"/>
      <c r="G110" s="24" t="n"/>
      <c r="H110" s="24" t="n"/>
      <c r="I110" s="22">
        <f>IF(H110="","",LEN(H110))</f>
        <v/>
      </c>
      <c r="J110" s="25">
        <f>IF(D110="","",IFERROR(INDEX(PlatformLimits,MATCH(D110,PlatformNames,0)),""))</f>
        <v/>
      </c>
      <c r="K110" s="24" t="n"/>
      <c r="L110" s="23" t="n"/>
      <c r="M110" s="23" t="n"/>
      <c r="N110" s="23" t="n"/>
      <c r="O110" s="24" t="n"/>
      <c r="P110" s="22">
        <f>IF(AND(D110=ExportPlatform,N110="Ready",A110&lt;&gt;""),COUNTIFS($D$7:D110,ExportPlatform,$N$7:N110,"Ready",$A$7:A110,"&lt;&gt;"),"")</f>
        <v/>
      </c>
    </row>
    <row r="111">
      <c r="A111" s="20" t="n"/>
      <c r="B111" s="21" t="n"/>
      <c r="C111" s="22">
        <f>IF(A111="","",CHOOSE(WEEKDAY(A111,2),"Mon","Tue","Wed","Thu","Fri","Sat","Sun"))</f>
        <v/>
      </c>
      <c r="D111" s="23" t="n"/>
      <c r="E111" s="23" t="n"/>
      <c r="F111" s="23" t="n"/>
      <c r="G111" s="24" t="n"/>
      <c r="H111" s="24" t="n"/>
      <c r="I111" s="22">
        <f>IF(H111="","",LEN(H111))</f>
        <v/>
      </c>
      <c r="J111" s="25">
        <f>IF(D111="","",IFERROR(INDEX(PlatformLimits,MATCH(D111,PlatformNames,0)),""))</f>
        <v/>
      </c>
      <c r="K111" s="24" t="n"/>
      <c r="L111" s="23" t="n"/>
      <c r="M111" s="23" t="n"/>
      <c r="N111" s="23" t="n"/>
      <c r="O111" s="24" t="n"/>
      <c r="P111" s="22">
        <f>IF(AND(D111=ExportPlatform,N111="Ready",A111&lt;&gt;""),COUNTIFS($D$7:D111,ExportPlatform,$N$7:N111,"Ready",$A$7:A111,"&lt;&gt;"),"")</f>
        <v/>
      </c>
    </row>
    <row r="112">
      <c r="A112" s="20" t="n"/>
      <c r="B112" s="21" t="n"/>
      <c r="C112" s="22">
        <f>IF(A112="","",CHOOSE(WEEKDAY(A112,2),"Mon","Tue","Wed","Thu","Fri","Sat","Sun"))</f>
        <v/>
      </c>
      <c r="D112" s="23" t="n"/>
      <c r="E112" s="23" t="n"/>
      <c r="F112" s="23" t="n"/>
      <c r="G112" s="24" t="n"/>
      <c r="H112" s="24" t="n"/>
      <c r="I112" s="22">
        <f>IF(H112="","",LEN(H112))</f>
        <v/>
      </c>
      <c r="J112" s="25">
        <f>IF(D112="","",IFERROR(INDEX(PlatformLimits,MATCH(D112,PlatformNames,0)),""))</f>
        <v/>
      </c>
      <c r="K112" s="24" t="n"/>
      <c r="L112" s="23" t="n"/>
      <c r="M112" s="23" t="n"/>
      <c r="N112" s="23" t="n"/>
      <c r="O112" s="24" t="n"/>
      <c r="P112" s="22">
        <f>IF(AND(D112=ExportPlatform,N112="Ready",A112&lt;&gt;""),COUNTIFS($D$7:D112,ExportPlatform,$N$7:N112,"Ready",$A$7:A112,"&lt;&gt;"),"")</f>
        <v/>
      </c>
    </row>
    <row r="113">
      <c r="A113" s="20" t="n"/>
      <c r="B113" s="21" t="n"/>
      <c r="C113" s="22">
        <f>IF(A113="","",CHOOSE(WEEKDAY(A113,2),"Mon","Tue","Wed","Thu","Fri","Sat","Sun"))</f>
        <v/>
      </c>
      <c r="D113" s="23" t="n"/>
      <c r="E113" s="23" t="n"/>
      <c r="F113" s="23" t="n"/>
      <c r="G113" s="24" t="n"/>
      <c r="H113" s="24" t="n"/>
      <c r="I113" s="22">
        <f>IF(H113="","",LEN(H113))</f>
        <v/>
      </c>
      <c r="J113" s="25">
        <f>IF(D113="","",IFERROR(INDEX(PlatformLimits,MATCH(D113,PlatformNames,0)),""))</f>
        <v/>
      </c>
      <c r="K113" s="24" t="n"/>
      <c r="L113" s="23" t="n"/>
      <c r="M113" s="23" t="n"/>
      <c r="N113" s="23" t="n"/>
      <c r="O113" s="24" t="n"/>
      <c r="P113" s="22">
        <f>IF(AND(D113=ExportPlatform,N113="Ready",A113&lt;&gt;""),COUNTIFS($D$7:D113,ExportPlatform,$N$7:N113,"Ready",$A$7:A113,"&lt;&gt;"),"")</f>
        <v/>
      </c>
    </row>
    <row r="114">
      <c r="A114" s="20" t="n"/>
      <c r="B114" s="21" t="n"/>
      <c r="C114" s="22">
        <f>IF(A114="","",CHOOSE(WEEKDAY(A114,2),"Mon","Tue","Wed","Thu","Fri","Sat","Sun"))</f>
        <v/>
      </c>
      <c r="D114" s="23" t="n"/>
      <c r="E114" s="23" t="n"/>
      <c r="F114" s="23" t="n"/>
      <c r="G114" s="24" t="n"/>
      <c r="H114" s="24" t="n"/>
      <c r="I114" s="22">
        <f>IF(H114="","",LEN(H114))</f>
        <v/>
      </c>
      <c r="J114" s="25">
        <f>IF(D114="","",IFERROR(INDEX(PlatformLimits,MATCH(D114,PlatformNames,0)),""))</f>
        <v/>
      </c>
      <c r="K114" s="24" t="n"/>
      <c r="L114" s="23" t="n"/>
      <c r="M114" s="23" t="n"/>
      <c r="N114" s="23" t="n"/>
      <c r="O114" s="24" t="n"/>
      <c r="P114" s="22">
        <f>IF(AND(D114=ExportPlatform,N114="Ready",A114&lt;&gt;""),COUNTIFS($D$7:D114,ExportPlatform,$N$7:N114,"Ready",$A$7:A114,"&lt;&gt;"),"")</f>
        <v/>
      </c>
    </row>
    <row r="115">
      <c r="A115" s="20" t="n"/>
      <c r="B115" s="21" t="n"/>
      <c r="C115" s="22">
        <f>IF(A115="","",CHOOSE(WEEKDAY(A115,2),"Mon","Tue","Wed","Thu","Fri","Sat","Sun"))</f>
        <v/>
      </c>
      <c r="D115" s="23" t="n"/>
      <c r="E115" s="23" t="n"/>
      <c r="F115" s="23" t="n"/>
      <c r="G115" s="24" t="n"/>
      <c r="H115" s="24" t="n"/>
      <c r="I115" s="22">
        <f>IF(H115="","",LEN(H115))</f>
        <v/>
      </c>
      <c r="J115" s="25">
        <f>IF(D115="","",IFERROR(INDEX(PlatformLimits,MATCH(D115,PlatformNames,0)),""))</f>
        <v/>
      </c>
      <c r="K115" s="24" t="n"/>
      <c r="L115" s="23" t="n"/>
      <c r="M115" s="23" t="n"/>
      <c r="N115" s="23" t="n"/>
      <c r="O115" s="24" t="n"/>
      <c r="P115" s="22">
        <f>IF(AND(D115=ExportPlatform,N115="Ready",A115&lt;&gt;""),COUNTIFS($D$7:D115,ExportPlatform,$N$7:N115,"Ready",$A$7:A115,"&lt;&gt;"),"")</f>
        <v/>
      </c>
    </row>
    <row r="116">
      <c r="A116" s="20" t="n"/>
      <c r="B116" s="21" t="n"/>
      <c r="C116" s="22">
        <f>IF(A116="","",CHOOSE(WEEKDAY(A116,2),"Mon","Tue","Wed","Thu","Fri","Sat","Sun"))</f>
        <v/>
      </c>
      <c r="D116" s="23" t="n"/>
      <c r="E116" s="23" t="n"/>
      <c r="F116" s="23" t="n"/>
      <c r="G116" s="24" t="n"/>
      <c r="H116" s="24" t="n"/>
      <c r="I116" s="22">
        <f>IF(H116="","",LEN(H116))</f>
        <v/>
      </c>
      <c r="J116" s="25">
        <f>IF(D116="","",IFERROR(INDEX(PlatformLimits,MATCH(D116,PlatformNames,0)),""))</f>
        <v/>
      </c>
      <c r="K116" s="24" t="n"/>
      <c r="L116" s="23" t="n"/>
      <c r="M116" s="23" t="n"/>
      <c r="N116" s="23" t="n"/>
      <c r="O116" s="24" t="n"/>
      <c r="P116" s="22">
        <f>IF(AND(D116=ExportPlatform,N116="Ready",A116&lt;&gt;""),COUNTIFS($D$7:D116,ExportPlatform,$N$7:N116,"Ready",$A$7:A116,"&lt;&gt;"),"")</f>
        <v/>
      </c>
    </row>
    <row r="117">
      <c r="A117" s="20" t="n"/>
      <c r="B117" s="21" t="n"/>
      <c r="C117" s="22">
        <f>IF(A117="","",CHOOSE(WEEKDAY(A117,2),"Mon","Tue","Wed","Thu","Fri","Sat","Sun"))</f>
        <v/>
      </c>
      <c r="D117" s="23" t="n"/>
      <c r="E117" s="23" t="n"/>
      <c r="F117" s="23" t="n"/>
      <c r="G117" s="24" t="n"/>
      <c r="H117" s="24" t="n"/>
      <c r="I117" s="22">
        <f>IF(H117="","",LEN(H117))</f>
        <v/>
      </c>
      <c r="J117" s="25">
        <f>IF(D117="","",IFERROR(INDEX(PlatformLimits,MATCH(D117,PlatformNames,0)),""))</f>
        <v/>
      </c>
      <c r="K117" s="24" t="n"/>
      <c r="L117" s="23" t="n"/>
      <c r="M117" s="23" t="n"/>
      <c r="N117" s="23" t="n"/>
      <c r="O117" s="24" t="n"/>
      <c r="P117" s="22">
        <f>IF(AND(D117=ExportPlatform,N117="Ready",A117&lt;&gt;""),COUNTIFS($D$7:D117,ExportPlatform,$N$7:N117,"Ready",$A$7:A117,"&lt;&gt;"),"")</f>
        <v/>
      </c>
    </row>
    <row r="118">
      <c r="A118" s="20" t="n"/>
      <c r="B118" s="21" t="n"/>
      <c r="C118" s="22">
        <f>IF(A118="","",CHOOSE(WEEKDAY(A118,2),"Mon","Tue","Wed","Thu","Fri","Sat","Sun"))</f>
        <v/>
      </c>
      <c r="D118" s="23" t="n"/>
      <c r="E118" s="23" t="n"/>
      <c r="F118" s="23" t="n"/>
      <c r="G118" s="24" t="n"/>
      <c r="H118" s="24" t="n"/>
      <c r="I118" s="22">
        <f>IF(H118="","",LEN(H118))</f>
        <v/>
      </c>
      <c r="J118" s="25">
        <f>IF(D118="","",IFERROR(INDEX(PlatformLimits,MATCH(D118,PlatformNames,0)),""))</f>
        <v/>
      </c>
      <c r="K118" s="24" t="n"/>
      <c r="L118" s="23" t="n"/>
      <c r="M118" s="23" t="n"/>
      <c r="N118" s="23" t="n"/>
      <c r="O118" s="24" t="n"/>
      <c r="P118" s="22">
        <f>IF(AND(D118=ExportPlatform,N118="Ready",A118&lt;&gt;""),COUNTIFS($D$7:D118,ExportPlatform,$N$7:N118,"Ready",$A$7:A118,"&lt;&gt;"),"")</f>
        <v/>
      </c>
    </row>
    <row r="119">
      <c r="A119" s="20" t="n"/>
      <c r="B119" s="21" t="n"/>
      <c r="C119" s="22">
        <f>IF(A119="","",CHOOSE(WEEKDAY(A119,2),"Mon","Tue","Wed","Thu","Fri","Sat","Sun"))</f>
        <v/>
      </c>
      <c r="D119" s="23" t="n"/>
      <c r="E119" s="23" t="n"/>
      <c r="F119" s="23" t="n"/>
      <c r="G119" s="24" t="n"/>
      <c r="H119" s="24" t="n"/>
      <c r="I119" s="22">
        <f>IF(H119="","",LEN(H119))</f>
        <v/>
      </c>
      <c r="J119" s="25">
        <f>IF(D119="","",IFERROR(INDEX(PlatformLimits,MATCH(D119,PlatformNames,0)),""))</f>
        <v/>
      </c>
      <c r="K119" s="24" t="n"/>
      <c r="L119" s="23" t="n"/>
      <c r="M119" s="23" t="n"/>
      <c r="N119" s="23" t="n"/>
      <c r="O119" s="24" t="n"/>
      <c r="P119" s="22">
        <f>IF(AND(D119=ExportPlatform,N119="Ready",A119&lt;&gt;""),COUNTIFS($D$7:D119,ExportPlatform,$N$7:N119,"Ready",$A$7:A119,"&lt;&gt;"),"")</f>
        <v/>
      </c>
    </row>
    <row r="120">
      <c r="A120" s="20" t="n"/>
      <c r="B120" s="21" t="n"/>
      <c r="C120" s="22">
        <f>IF(A120="","",CHOOSE(WEEKDAY(A120,2),"Mon","Tue","Wed","Thu","Fri","Sat","Sun"))</f>
        <v/>
      </c>
      <c r="D120" s="23" t="n"/>
      <c r="E120" s="23" t="n"/>
      <c r="F120" s="23" t="n"/>
      <c r="G120" s="24" t="n"/>
      <c r="H120" s="24" t="n"/>
      <c r="I120" s="22">
        <f>IF(H120="","",LEN(H120))</f>
        <v/>
      </c>
      <c r="J120" s="25">
        <f>IF(D120="","",IFERROR(INDEX(PlatformLimits,MATCH(D120,PlatformNames,0)),""))</f>
        <v/>
      </c>
      <c r="K120" s="24" t="n"/>
      <c r="L120" s="23" t="n"/>
      <c r="M120" s="23" t="n"/>
      <c r="N120" s="23" t="n"/>
      <c r="O120" s="24" t="n"/>
      <c r="P120" s="22">
        <f>IF(AND(D120=ExportPlatform,N120="Ready",A120&lt;&gt;""),COUNTIFS($D$7:D120,ExportPlatform,$N$7:N120,"Ready",$A$7:A120,"&lt;&gt;"),"")</f>
        <v/>
      </c>
    </row>
    <row r="121">
      <c r="A121" s="20" t="n"/>
      <c r="B121" s="21" t="n"/>
      <c r="C121" s="22">
        <f>IF(A121="","",CHOOSE(WEEKDAY(A121,2),"Mon","Tue","Wed","Thu","Fri","Sat","Sun"))</f>
        <v/>
      </c>
      <c r="D121" s="23" t="n"/>
      <c r="E121" s="23" t="n"/>
      <c r="F121" s="23" t="n"/>
      <c r="G121" s="24" t="n"/>
      <c r="H121" s="24" t="n"/>
      <c r="I121" s="22">
        <f>IF(H121="","",LEN(H121))</f>
        <v/>
      </c>
      <c r="J121" s="25">
        <f>IF(D121="","",IFERROR(INDEX(PlatformLimits,MATCH(D121,PlatformNames,0)),""))</f>
        <v/>
      </c>
      <c r="K121" s="24" t="n"/>
      <c r="L121" s="23" t="n"/>
      <c r="M121" s="23" t="n"/>
      <c r="N121" s="23" t="n"/>
      <c r="O121" s="24" t="n"/>
      <c r="P121" s="22">
        <f>IF(AND(D121=ExportPlatform,N121="Ready",A121&lt;&gt;""),COUNTIFS($D$7:D121,ExportPlatform,$N$7:N121,"Ready",$A$7:A121,"&lt;&gt;"),"")</f>
        <v/>
      </c>
    </row>
    <row r="122">
      <c r="A122" s="20" t="n"/>
      <c r="B122" s="21" t="n"/>
      <c r="C122" s="22">
        <f>IF(A122="","",CHOOSE(WEEKDAY(A122,2),"Mon","Tue","Wed","Thu","Fri","Sat","Sun"))</f>
        <v/>
      </c>
      <c r="D122" s="23" t="n"/>
      <c r="E122" s="23" t="n"/>
      <c r="F122" s="23" t="n"/>
      <c r="G122" s="24" t="n"/>
      <c r="H122" s="24" t="n"/>
      <c r="I122" s="22">
        <f>IF(H122="","",LEN(H122))</f>
        <v/>
      </c>
      <c r="J122" s="25">
        <f>IF(D122="","",IFERROR(INDEX(PlatformLimits,MATCH(D122,PlatformNames,0)),""))</f>
        <v/>
      </c>
      <c r="K122" s="24" t="n"/>
      <c r="L122" s="23" t="n"/>
      <c r="M122" s="23" t="n"/>
      <c r="N122" s="23" t="n"/>
      <c r="O122" s="24" t="n"/>
      <c r="P122" s="22">
        <f>IF(AND(D122=ExportPlatform,N122="Ready",A122&lt;&gt;""),COUNTIFS($D$7:D122,ExportPlatform,$N$7:N122,"Ready",$A$7:A122,"&lt;&gt;"),"")</f>
        <v/>
      </c>
    </row>
    <row r="123">
      <c r="A123" s="20" t="n"/>
      <c r="B123" s="21" t="n"/>
      <c r="C123" s="22">
        <f>IF(A123="","",CHOOSE(WEEKDAY(A123,2),"Mon","Tue","Wed","Thu","Fri","Sat","Sun"))</f>
        <v/>
      </c>
      <c r="D123" s="23" t="n"/>
      <c r="E123" s="23" t="n"/>
      <c r="F123" s="23" t="n"/>
      <c r="G123" s="24" t="n"/>
      <c r="H123" s="24" t="n"/>
      <c r="I123" s="22">
        <f>IF(H123="","",LEN(H123))</f>
        <v/>
      </c>
      <c r="J123" s="25">
        <f>IF(D123="","",IFERROR(INDEX(PlatformLimits,MATCH(D123,PlatformNames,0)),""))</f>
        <v/>
      </c>
      <c r="K123" s="24" t="n"/>
      <c r="L123" s="23" t="n"/>
      <c r="M123" s="23" t="n"/>
      <c r="N123" s="23" t="n"/>
      <c r="O123" s="24" t="n"/>
      <c r="P123" s="22">
        <f>IF(AND(D123=ExportPlatform,N123="Ready",A123&lt;&gt;""),COUNTIFS($D$7:D123,ExportPlatform,$N$7:N123,"Ready",$A$7:A123,"&lt;&gt;"),"")</f>
        <v/>
      </c>
    </row>
    <row r="124">
      <c r="A124" s="20" t="n"/>
      <c r="B124" s="21" t="n"/>
      <c r="C124" s="22">
        <f>IF(A124="","",CHOOSE(WEEKDAY(A124,2),"Mon","Tue","Wed","Thu","Fri","Sat","Sun"))</f>
        <v/>
      </c>
      <c r="D124" s="23" t="n"/>
      <c r="E124" s="23" t="n"/>
      <c r="F124" s="23" t="n"/>
      <c r="G124" s="24" t="n"/>
      <c r="H124" s="24" t="n"/>
      <c r="I124" s="22">
        <f>IF(H124="","",LEN(H124))</f>
        <v/>
      </c>
      <c r="J124" s="25">
        <f>IF(D124="","",IFERROR(INDEX(PlatformLimits,MATCH(D124,PlatformNames,0)),""))</f>
        <v/>
      </c>
      <c r="K124" s="24" t="n"/>
      <c r="L124" s="23" t="n"/>
      <c r="M124" s="23" t="n"/>
      <c r="N124" s="23" t="n"/>
      <c r="O124" s="24" t="n"/>
      <c r="P124" s="22">
        <f>IF(AND(D124=ExportPlatform,N124="Ready",A124&lt;&gt;""),COUNTIFS($D$7:D124,ExportPlatform,$N$7:N124,"Ready",$A$7:A124,"&lt;&gt;"),"")</f>
        <v/>
      </c>
    </row>
    <row r="125">
      <c r="A125" s="20" t="n"/>
      <c r="B125" s="21" t="n"/>
      <c r="C125" s="22">
        <f>IF(A125="","",CHOOSE(WEEKDAY(A125,2),"Mon","Tue","Wed","Thu","Fri","Sat","Sun"))</f>
        <v/>
      </c>
      <c r="D125" s="23" t="n"/>
      <c r="E125" s="23" t="n"/>
      <c r="F125" s="23" t="n"/>
      <c r="G125" s="24" t="n"/>
      <c r="H125" s="24" t="n"/>
      <c r="I125" s="22">
        <f>IF(H125="","",LEN(H125))</f>
        <v/>
      </c>
      <c r="J125" s="25">
        <f>IF(D125="","",IFERROR(INDEX(PlatformLimits,MATCH(D125,PlatformNames,0)),""))</f>
        <v/>
      </c>
      <c r="K125" s="24" t="n"/>
      <c r="L125" s="23" t="n"/>
      <c r="M125" s="23" t="n"/>
      <c r="N125" s="23" t="n"/>
      <c r="O125" s="24" t="n"/>
      <c r="P125" s="22">
        <f>IF(AND(D125=ExportPlatform,N125="Ready",A125&lt;&gt;""),COUNTIFS($D$7:D125,ExportPlatform,$N$7:N125,"Ready",$A$7:A125,"&lt;&gt;"),"")</f>
        <v/>
      </c>
    </row>
    <row r="126">
      <c r="A126" s="20" t="n"/>
      <c r="B126" s="21" t="n"/>
      <c r="C126" s="22">
        <f>IF(A126="","",CHOOSE(WEEKDAY(A126,2),"Mon","Tue","Wed","Thu","Fri","Sat","Sun"))</f>
        <v/>
      </c>
      <c r="D126" s="23" t="n"/>
      <c r="E126" s="23" t="n"/>
      <c r="F126" s="23" t="n"/>
      <c r="G126" s="24" t="n"/>
      <c r="H126" s="24" t="n"/>
      <c r="I126" s="22">
        <f>IF(H126="","",LEN(H126))</f>
        <v/>
      </c>
      <c r="J126" s="25">
        <f>IF(D126="","",IFERROR(INDEX(PlatformLimits,MATCH(D126,PlatformNames,0)),""))</f>
        <v/>
      </c>
      <c r="K126" s="24" t="n"/>
      <c r="L126" s="23" t="n"/>
      <c r="M126" s="23" t="n"/>
      <c r="N126" s="23" t="n"/>
      <c r="O126" s="24" t="n"/>
      <c r="P126" s="22">
        <f>IF(AND(D126=ExportPlatform,N126="Ready",A126&lt;&gt;""),COUNTIFS($D$7:D126,ExportPlatform,$N$7:N126,"Ready",$A$7:A126,"&lt;&gt;"),"")</f>
        <v/>
      </c>
    </row>
    <row r="127">
      <c r="A127" s="20" t="n"/>
      <c r="B127" s="21" t="n"/>
      <c r="C127" s="22">
        <f>IF(A127="","",CHOOSE(WEEKDAY(A127,2),"Mon","Tue","Wed","Thu","Fri","Sat","Sun"))</f>
        <v/>
      </c>
      <c r="D127" s="23" t="n"/>
      <c r="E127" s="23" t="n"/>
      <c r="F127" s="23" t="n"/>
      <c r="G127" s="24" t="n"/>
      <c r="H127" s="24" t="n"/>
      <c r="I127" s="22">
        <f>IF(H127="","",LEN(H127))</f>
        <v/>
      </c>
      <c r="J127" s="25">
        <f>IF(D127="","",IFERROR(INDEX(PlatformLimits,MATCH(D127,PlatformNames,0)),""))</f>
        <v/>
      </c>
      <c r="K127" s="24" t="n"/>
      <c r="L127" s="23" t="n"/>
      <c r="M127" s="23" t="n"/>
      <c r="N127" s="23" t="n"/>
      <c r="O127" s="24" t="n"/>
      <c r="P127" s="22">
        <f>IF(AND(D127=ExportPlatform,N127="Ready",A127&lt;&gt;""),COUNTIFS($D$7:D127,ExportPlatform,$N$7:N127,"Ready",$A$7:A127,"&lt;&gt;"),"")</f>
        <v/>
      </c>
    </row>
    <row r="128">
      <c r="A128" s="20" t="n"/>
      <c r="B128" s="21" t="n"/>
      <c r="C128" s="22">
        <f>IF(A128="","",CHOOSE(WEEKDAY(A128,2),"Mon","Tue","Wed","Thu","Fri","Sat","Sun"))</f>
        <v/>
      </c>
      <c r="D128" s="23" t="n"/>
      <c r="E128" s="23" t="n"/>
      <c r="F128" s="23" t="n"/>
      <c r="G128" s="24" t="n"/>
      <c r="H128" s="24" t="n"/>
      <c r="I128" s="22">
        <f>IF(H128="","",LEN(H128))</f>
        <v/>
      </c>
      <c r="J128" s="25">
        <f>IF(D128="","",IFERROR(INDEX(PlatformLimits,MATCH(D128,PlatformNames,0)),""))</f>
        <v/>
      </c>
      <c r="K128" s="24" t="n"/>
      <c r="L128" s="23" t="n"/>
      <c r="M128" s="23" t="n"/>
      <c r="N128" s="23" t="n"/>
      <c r="O128" s="24" t="n"/>
      <c r="P128" s="22">
        <f>IF(AND(D128=ExportPlatform,N128="Ready",A128&lt;&gt;""),COUNTIFS($D$7:D128,ExportPlatform,$N$7:N128,"Ready",$A$7:A128,"&lt;&gt;"),"")</f>
        <v/>
      </c>
    </row>
    <row r="129">
      <c r="A129" s="20" t="n"/>
      <c r="B129" s="21" t="n"/>
      <c r="C129" s="22">
        <f>IF(A129="","",CHOOSE(WEEKDAY(A129,2),"Mon","Tue","Wed","Thu","Fri","Sat","Sun"))</f>
        <v/>
      </c>
      <c r="D129" s="23" t="n"/>
      <c r="E129" s="23" t="n"/>
      <c r="F129" s="23" t="n"/>
      <c r="G129" s="24" t="n"/>
      <c r="H129" s="24" t="n"/>
      <c r="I129" s="22">
        <f>IF(H129="","",LEN(H129))</f>
        <v/>
      </c>
      <c r="J129" s="25">
        <f>IF(D129="","",IFERROR(INDEX(PlatformLimits,MATCH(D129,PlatformNames,0)),""))</f>
        <v/>
      </c>
      <c r="K129" s="24" t="n"/>
      <c r="L129" s="23" t="n"/>
      <c r="M129" s="23" t="n"/>
      <c r="N129" s="23" t="n"/>
      <c r="O129" s="24" t="n"/>
      <c r="P129" s="22">
        <f>IF(AND(D129=ExportPlatform,N129="Ready",A129&lt;&gt;""),COUNTIFS($D$7:D129,ExportPlatform,$N$7:N129,"Ready",$A$7:A129,"&lt;&gt;"),"")</f>
        <v/>
      </c>
    </row>
    <row r="130">
      <c r="A130" s="20" t="n"/>
      <c r="B130" s="21" t="n"/>
      <c r="C130" s="22">
        <f>IF(A130="","",CHOOSE(WEEKDAY(A130,2),"Mon","Tue","Wed","Thu","Fri","Sat","Sun"))</f>
        <v/>
      </c>
      <c r="D130" s="23" t="n"/>
      <c r="E130" s="23" t="n"/>
      <c r="F130" s="23" t="n"/>
      <c r="G130" s="24" t="n"/>
      <c r="H130" s="24" t="n"/>
      <c r="I130" s="22">
        <f>IF(H130="","",LEN(H130))</f>
        <v/>
      </c>
      <c r="J130" s="25">
        <f>IF(D130="","",IFERROR(INDEX(PlatformLimits,MATCH(D130,PlatformNames,0)),""))</f>
        <v/>
      </c>
      <c r="K130" s="24" t="n"/>
      <c r="L130" s="23" t="n"/>
      <c r="M130" s="23" t="n"/>
      <c r="N130" s="23" t="n"/>
      <c r="O130" s="24" t="n"/>
      <c r="P130" s="22">
        <f>IF(AND(D130=ExportPlatform,N130="Ready",A130&lt;&gt;""),COUNTIFS($D$7:D130,ExportPlatform,$N$7:N130,"Ready",$A$7:A130,"&lt;&gt;"),"")</f>
        <v/>
      </c>
    </row>
    <row r="131">
      <c r="A131" s="20" t="n"/>
      <c r="B131" s="21" t="n"/>
      <c r="C131" s="22">
        <f>IF(A131="","",CHOOSE(WEEKDAY(A131,2),"Mon","Tue","Wed","Thu","Fri","Sat","Sun"))</f>
        <v/>
      </c>
      <c r="D131" s="23" t="n"/>
      <c r="E131" s="23" t="n"/>
      <c r="F131" s="23" t="n"/>
      <c r="G131" s="24" t="n"/>
      <c r="H131" s="24" t="n"/>
      <c r="I131" s="22">
        <f>IF(H131="","",LEN(H131))</f>
        <v/>
      </c>
      <c r="J131" s="25">
        <f>IF(D131="","",IFERROR(INDEX(PlatformLimits,MATCH(D131,PlatformNames,0)),""))</f>
        <v/>
      </c>
      <c r="K131" s="24" t="n"/>
      <c r="L131" s="23" t="n"/>
      <c r="M131" s="23" t="n"/>
      <c r="N131" s="23" t="n"/>
      <c r="O131" s="24" t="n"/>
      <c r="P131" s="22">
        <f>IF(AND(D131=ExportPlatform,N131="Ready",A131&lt;&gt;""),COUNTIFS($D$7:D131,ExportPlatform,$N$7:N131,"Ready",$A$7:A131,"&lt;&gt;"),"")</f>
        <v/>
      </c>
    </row>
    <row r="132">
      <c r="A132" s="20" t="n"/>
      <c r="B132" s="21" t="n"/>
      <c r="C132" s="22">
        <f>IF(A132="","",CHOOSE(WEEKDAY(A132,2),"Mon","Tue","Wed","Thu","Fri","Sat","Sun"))</f>
        <v/>
      </c>
      <c r="D132" s="23" t="n"/>
      <c r="E132" s="23" t="n"/>
      <c r="F132" s="23" t="n"/>
      <c r="G132" s="24" t="n"/>
      <c r="H132" s="24" t="n"/>
      <c r="I132" s="22">
        <f>IF(H132="","",LEN(H132))</f>
        <v/>
      </c>
      <c r="J132" s="25">
        <f>IF(D132="","",IFERROR(INDEX(PlatformLimits,MATCH(D132,PlatformNames,0)),""))</f>
        <v/>
      </c>
      <c r="K132" s="24" t="n"/>
      <c r="L132" s="23" t="n"/>
      <c r="M132" s="23" t="n"/>
      <c r="N132" s="23" t="n"/>
      <c r="O132" s="24" t="n"/>
      <c r="P132" s="22">
        <f>IF(AND(D132=ExportPlatform,N132="Ready",A132&lt;&gt;""),COUNTIFS($D$7:D132,ExportPlatform,$N$7:N132,"Ready",$A$7:A132,"&lt;&gt;"),"")</f>
        <v/>
      </c>
    </row>
    <row r="133">
      <c r="A133" s="20" t="n"/>
      <c r="B133" s="21" t="n"/>
      <c r="C133" s="22">
        <f>IF(A133="","",CHOOSE(WEEKDAY(A133,2),"Mon","Tue","Wed","Thu","Fri","Sat","Sun"))</f>
        <v/>
      </c>
      <c r="D133" s="23" t="n"/>
      <c r="E133" s="23" t="n"/>
      <c r="F133" s="23" t="n"/>
      <c r="G133" s="24" t="n"/>
      <c r="H133" s="24" t="n"/>
      <c r="I133" s="22">
        <f>IF(H133="","",LEN(H133))</f>
        <v/>
      </c>
      <c r="J133" s="25">
        <f>IF(D133="","",IFERROR(INDEX(PlatformLimits,MATCH(D133,PlatformNames,0)),""))</f>
        <v/>
      </c>
      <c r="K133" s="24" t="n"/>
      <c r="L133" s="23" t="n"/>
      <c r="M133" s="23" t="n"/>
      <c r="N133" s="23" t="n"/>
      <c r="O133" s="24" t="n"/>
      <c r="P133" s="22">
        <f>IF(AND(D133=ExportPlatform,N133="Ready",A133&lt;&gt;""),COUNTIFS($D$7:D133,ExportPlatform,$N$7:N133,"Ready",$A$7:A133,"&lt;&gt;"),"")</f>
        <v/>
      </c>
    </row>
    <row r="134">
      <c r="A134" s="20" t="n"/>
      <c r="B134" s="21" t="n"/>
      <c r="C134" s="22">
        <f>IF(A134="","",CHOOSE(WEEKDAY(A134,2),"Mon","Tue","Wed","Thu","Fri","Sat","Sun"))</f>
        <v/>
      </c>
      <c r="D134" s="23" t="n"/>
      <c r="E134" s="23" t="n"/>
      <c r="F134" s="23" t="n"/>
      <c r="G134" s="24" t="n"/>
      <c r="H134" s="24" t="n"/>
      <c r="I134" s="22">
        <f>IF(H134="","",LEN(H134))</f>
        <v/>
      </c>
      <c r="J134" s="25">
        <f>IF(D134="","",IFERROR(INDEX(PlatformLimits,MATCH(D134,PlatformNames,0)),""))</f>
        <v/>
      </c>
      <c r="K134" s="24" t="n"/>
      <c r="L134" s="23" t="n"/>
      <c r="M134" s="23" t="n"/>
      <c r="N134" s="23" t="n"/>
      <c r="O134" s="24" t="n"/>
      <c r="P134" s="22">
        <f>IF(AND(D134=ExportPlatform,N134="Ready",A134&lt;&gt;""),COUNTIFS($D$7:D134,ExportPlatform,$N$7:N134,"Ready",$A$7:A134,"&lt;&gt;"),"")</f>
        <v/>
      </c>
    </row>
    <row r="135">
      <c r="A135" s="20" t="n"/>
      <c r="B135" s="21" t="n"/>
      <c r="C135" s="22">
        <f>IF(A135="","",CHOOSE(WEEKDAY(A135,2),"Mon","Tue","Wed","Thu","Fri","Sat","Sun"))</f>
        <v/>
      </c>
      <c r="D135" s="23" t="n"/>
      <c r="E135" s="23" t="n"/>
      <c r="F135" s="23" t="n"/>
      <c r="G135" s="24" t="n"/>
      <c r="H135" s="24" t="n"/>
      <c r="I135" s="22">
        <f>IF(H135="","",LEN(H135))</f>
        <v/>
      </c>
      <c r="J135" s="25">
        <f>IF(D135="","",IFERROR(INDEX(PlatformLimits,MATCH(D135,PlatformNames,0)),""))</f>
        <v/>
      </c>
      <c r="K135" s="24" t="n"/>
      <c r="L135" s="23" t="n"/>
      <c r="M135" s="23" t="n"/>
      <c r="N135" s="23" t="n"/>
      <c r="O135" s="24" t="n"/>
      <c r="P135" s="22">
        <f>IF(AND(D135=ExportPlatform,N135="Ready",A135&lt;&gt;""),COUNTIFS($D$7:D135,ExportPlatform,$N$7:N135,"Ready",$A$7:A135,"&lt;&gt;"),"")</f>
        <v/>
      </c>
    </row>
    <row r="136">
      <c r="A136" s="20" t="n"/>
      <c r="B136" s="21" t="n"/>
      <c r="C136" s="22">
        <f>IF(A136="","",CHOOSE(WEEKDAY(A136,2),"Mon","Tue","Wed","Thu","Fri","Sat","Sun"))</f>
        <v/>
      </c>
      <c r="D136" s="23" t="n"/>
      <c r="E136" s="23" t="n"/>
      <c r="F136" s="23" t="n"/>
      <c r="G136" s="24" t="n"/>
      <c r="H136" s="24" t="n"/>
      <c r="I136" s="22">
        <f>IF(H136="","",LEN(H136))</f>
        <v/>
      </c>
      <c r="J136" s="25">
        <f>IF(D136="","",IFERROR(INDEX(PlatformLimits,MATCH(D136,PlatformNames,0)),""))</f>
        <v/>
      </c>
      <c r="K136" s="24" t="n"/>
      <c r="L136" s="23" t="n"/>
      <c r="M136" s="23" t="n"/>
      <c r="N136" s="23" t="n"/>
      <c r="O136" s="24" t="n"/>
      <c r="P136" s="22">
        <f>IF(AND(D136=ExportPlatform,N136="Ready",A136&lt;&gt;""),COUNTIFS($D$7:D136,ExportPlatform,$N$7:N136,"Ready",$A$7:A136,"&lt;&gt;"),"")</f>
        <v/>
      </c>
    </row>
    <row r="137">
      <c r="A137" s="20" t="n"/>
      <c r="B137" s="21" t="n"/>
      <c r="C137" s="22">
        <f>IF(A137="","",CHOOSE(WEEKDAY(A137,2),"Mon","Tue","Wed","Thu","Fri","Sat","Sun"))</f>
        <v/>
      </c>
      <c r="D137" s="23" t="n"/>
      <c r="E137" s="23" t="n"/>
      <c r="F137" s="23" t="n"/>
      <c r="G137" s="24" t="n"/>
      <c r="H137" s="24" t="n"/>
      <c r="I137" s="22">
        <f>IF(H137="","",LEN(H137))</f>
        <v/>
      </c>
      <c r="J137" s="25">
        <f>IF(D137="","",IFERROR(INDEX(PlatformLimits,MATCH(D137,PlatformNames,0)),""))</f>
        <v/>
      </c>
      <c r="K137" s="24" t="n"/>
      <c r="L137" s="23" t="n"/>
      <c r="M137" s="23" t="n"/>
      <c r="N137" s="23" t="n"/>
      <c r="O137" s="24" t="n"/>
      <c r="P137" s="22">
        <f>IF(AND(D137=ExportPlatform,N137="Ready",A137&lt;&gt;""),COUNTIFS($D$7:D137,ExportPlatform,$N$7:N137,"Ready",$A$7:A137,"&lt;&gt;"),"")</f>
        <v/>
      </c>
    </row>
    <row r="138">
      <c r="A138" s="20" t="n"/>
      <c r="B138" s="21" t="n"/>
      <c r="C138" s="22">
        <f>IF(A138="","",CHOOSE(WEEKDAY(A138,2),"Mon","Tue","Wed","Thu","Fri","Sat","Sun"))</f>
        <v/>
      </c>
      <c r="D138" s="23" t="n"/>
      <c r="E138" s="23" t="n"/>
      <c r="F138" s="23" t="n"/>
      <c r="G138" s="24" t="n"/>
      <c r="H138" s="24" t="n"/>
      <c r="I138" s="22">
        <f>IF(H138="","",LEN(H138))</f>
        <v/>
      </c>
      <c r="J138" s="25">
        <f>IF(D138="","",IFERROR(INDEX(PlatformLimits,MATCH(D138,PlatformNames,0)),""))</f>
        <v/>
      </c>
      <c r="K138" s="24" t="n"/>
      <c r="L138" s="23" t="n"/>
      <c r="M138" s="23" t="n"/>
      <c r="N138" s="23" t="n"/>
      <c r="O138" s="24" t="n"/>
      <c r="P138" s="22">
        <f>IF(AND(D138=ExportPlatform,N138="Ready",A138&lt;&gt;""),COUNTIFS($D$7:D138,ExportPlatform,$N$7:N138,"Ready",$A$7:A138,"&lt;&gt;"),"")</f>
        <v/>
      </c>
    </row>
    <row r="139">
      <c r="A139" s="20" t="n"/>
      <c r="B139" s="21" t="n"/>
      <c r="C139" s="22">
        <f>IF(A139="","",CHOOSE(WEEKDAY(A139,2),"Mon","Tue","Wed","Thu","Fri","Sat","Sun"))</f>
        <v/>
      </c>
      <c r="D139" s="23" t="n"/>
      <c r="E139" s="23" t="n"/>
      <c r="F139" s="23" t="n"/>
      <c r="G139" s="24" t="n"/>
      <c r="H139" s="24" t="n"/>
      <c r="I139" s="22">
        <f>IF(H139="","",LEN(H139))</f>
        <v/>
      </c>
      <c r="J139" s="25">
        <f>IF(D139="","",IFERROR(INDEX(PlatformLimits,MATCH(D139,PlatformNames,0)),""))</f>
        <v/>
      </c>
      <c r="K139" s="24" t="n"/>
      <c r="L139" s="23" t="n"/>
      <c r="M139" s="23" t="n"/>
      <c r="N139" s="23" t="n"/>
      <c r="O139" s="24" t="n"/>
      <c r="P139" s="22">
        <f>IF(AND(D139=ExportPlatform,N139="Ready",A139&lt;&gt;""),COUNTIFS($D$7:D139,ExportPlatform,$N$7:N139,"Ready",$A$7:A139,"&lt;&gt;"),"")</f>
        <v/>
      </c>
    </row>
    <row r="140">
      <c r="A140" s="20" t="n"/>
      <c r="B140" s="21" t="n"/>
      <c r="C140" s="22">
        <f>IF(A140="","",CHOOSE(WEEKDAY(A140,2),"Mon","Tue","Wed","Thu","Fri","Sat","Sun"))</f>
        <v/>
      </c>
      <c r="D140" s="23" t="n"/>
      <c r="E140" s="23" t="n"/>
      <c r="F140" s="23" t="n"/>
      <c r="G140" s="24" t="n"/>
      <c r="H140" s="24" t="n"/>
      <c r="I140" s="22">
        <f>IF(H140="","",LEN(H140))</f>
        <v/>
      </c>
      <c r="J140" s="25">
        <f>IF(D140="","",IFERROR(INDEX(PlatformLimits,MATCH(D140,PlatformNames,0)),""))</f>
        <v/>
      </c>
      <c r="K140" s="24" t="n"/>
      <c r="L140" s="23" t="n"/>
      <c r="M140" s="23" t="n"/>
      <c r="N140" s="23" t="n"/>
      <c r="O140" s="24" t="n"/>
      <c r="P140" s="22">
        <f>IF(AND(D140=ExportPlatform,N140="Ready",A140&lt;&gt;""),COUNTIFS($D$7:D140,ExportPlatform,$N$7:N140,"Ready",$A$7:A140,"&lt;&gt;"),"")</f>
        <v/>
      </c>
    </row>
    <row r="141">
      <c r="A141" s="20" t="n"/>
      <c r="B141" s="21" t="n"/>
      <c r="C141" s="22">
        <f>IF(A141="","",CHOOSE(WEEKDAY(A141,2),"Mon","Tue","Wed","Thu","Fri","Sat","Sun"))</f>
        <v/>
      </c>
      <c r="D141" s="23" t="n"/>
      <c r="E141" s="23" t="n"/>
      <c r="F141" s="23" t="n"/>
      <c r="G141" s="24" t="n"/>
      <c r="H141" s="24" t="n"/>
      <c r="I141" s="22">
        <f>IF(H141="","",LEN(H141))</f>
        <v/>
      </c>
      <c r="J141" s="25">
        <f>IF(D141="","",IFERROR(INDEX(PlatformLimits,MATCH(D141,PlatformNames,0)),""))</f>
        <v/>
      </c>
      <c r="K141" s="24" t="n"/>
      <c r="L141" s="23" t="n"/>
      <c r="M141" s="23" t="n"/>
      <c r="N141" s="23" t="n"/>
      <c r="O141" s="24" t="n"/>
      <c r="P141" s="22">
        <f>IF(AND(D141=ExportPlatform,N141="Ready",A141&lt;&gt;""),COUNTIFS($D$7:D141,ExportPlatform,$N$7:N141,"Ready",$A$7:A141,"&lt;&gt;"),"")</f>
        <v/>
      </c>
    </row>
    <row r="142">
      <c r="A142" s="20" t="n"/>
      <c r="B142" s="21" t="n"/>
      <c r="C142" s="22">
        <f>IF(A142="","",CHOOSE(WEEKDAY(A142,2),"Mon","Tue","Wed","Thu","Fri","Sat","Sun"))</f>
        <v/>
      </c>
      <c r="D142" s="23" t="n"/>
      <c r="E142" s="23" t="n"/>
      <c r="F142" s="23" t="n"/>
      <c r="G142" s="24" t="n"/>
      <c r="H142" s="24" t="n"/>
      <c r="I142" s="22">
        <f>IF(H142="","",LEN(H142))</f>
        <v/>
      </c>
      <c r="J142" s="25">
        <f>IF(D142="","",IFERROR(INDEX(PlatformLimits,MATCH(D142,PlatformNames,0)),""))</f>
        <v/>
      </c>
      <c r="K142" s="24" t="n"/>
      <c r="L142" s="23" t="n"/>
      <c r="M142" s="23" t="n"/>
      <c r="N142" s="23" t="n"/>
      <c r="O142" s="24" t="n"/>
      <c r="P142" s="22">
        <f>IF(AND(D142=ExportPlatform,N142="Ready",A142&lt;&gt;""),COUNTIFS($D$7:D142,ExportPlatform,$N$7:N142,"Ready",$A$7:A142,"&lt;&gt;"),"")</f>
        <v/>
      </c>
    </row>
    <row r="143">
      <c r="A143" s="20" t="n"/>
      <c r="B143" s="21" t="n"/>
      <c r="C143" s="22">
        <f>IF(A143="","",CHOOSE(WEEKDAY(A143,2),"Mon","Tue","Wed","Thu","Fri","Sat","Sun"))</f>
        <v/>
      </c>
      <c r="D143" s="23" t="n"/>
      <c r="E143" s="23" t="n"/>
      <c r="F143" s="23" t="n"/>
      <c r="G143" s="24" t="n"/>
      <c r="H143" s="24" t="n"/>
      <c r="I143" s="22">
        <f>IF(H143="","",LEN(H143))</f>
        <v/>
      </c>
      <c r="J143" s="25">
        <f>IF(D143="","",IFERROR(INDEX(PlatformLimits,MATCH(D143,PlatformNames,0)),""))</f>
        <v/>
      </c>
      <c r="K143" s="24" t="n"/>
      <c r="L143" s="23" t="n"/>
      <c r="M143" s="23" t="n"/>
      <c r="N143" s="23" t="n"/>
      <c r="O143" s="24" t="n"/>
      <c r="P143" s="22">
        <f>IF(AND(D143=ExportPlatform,N143="Ready",A143&lt;&gt;""),COUNTIFS($D$7:D143,ExportPlatform,$N$7:N143,"Ready",$A$7:A143,"&lt;&gt;"),"")</f>
        <v/>
      </c>
    </row>
    <row r="144">
      <c r="A144" s="20" t="n"/>
      <c r="B144" s="21" t="n"/>
      <c r="C144" s="22">
        <f>IF(A144="","",CHOOSE(WEEKDAY(A144,2),"Mon","Tue","Wed","Thu","Fri","Sat","Sun"))</f>
        <v/>
      </c>
      <c r="D144" s="23" t="n"/>
      <c r="E144" s="23" t="n"/>
      <c r="F144" s="23" t="n"/>
      <c r="G144" s="24" t="n"/>
      <c r="H144" s="24" t="n"/>
      <c r="I144" s="22">
        <f>IF(H144="","",LEN(H144))</f>
        <v/>
      </c>
      <c r="J144" s="25">
        <f>IF(D144="","",IFERROR(INDEX(PlatformLimits,MATCH(D144,PlatformNames,0)),""))</f>
        <v/>
      </c>
      <c r="K144" s="24" t="n"/>
      <c r="L144" s="23" t="n"/>
      <c r="M144" s="23" t="n"/>
      <c r="N144" s="23" t="n"/>
      <c r="O144" s="24" t="n"/>
      <c r="P144" s="22">
        <f>IF(AND(D144=ExportPlatform,N144="Ready",A144&lt;&gt;""),COUNTIFS($D$7:D144,ExportPlatform,$N$7:N144,"Ready",$A$7:A144,"&lt;&gt;"),"")</f>
        <v/>
      </c>
    </row>
    <row r="145">
      <c r="A145" s="20" t="n"/>
      <c r="B145" s="21" t="n"/>
      <c r="C145" s="22">
        <f>IF(A145="","",CHOOSE(WEEKDAY(A145,2),"Mon","Tue","Wed","Thu","Fri","Sat","Sun"))</f>
        <v/>
      </c>
      <c r="D145" s="23" t="n"/>
      <c r="E145" s="23" t="n"/>
      <c r="F145" s="23" t="n"/>
      <c r="G145" s="24" t="n"/>
      <c r="H145" s="24" t="n"/>
      <c r="I145" s="22">
        <f>IF(H145="","",LEN(H145))</f>
        <v/>
      </c>
      <c r="J145" s="25">
        <f>IF(D145="","",IFERROR(INDEX(PlatformLimits,MATCH(D145,PlatformNames,0)),""))</f>
        <v/>
      </c>
      <c r="K145" s="24" t="n"/>
      <c r="L145" s="23" t="n"/>
      <c r="M145" s="23" t="n"/>
      <c r="N145" s="23" t="n"/>
      <c r="O145" s="24" t="n"/>
      <c r="P145" s="22">
        <f>IF(AND(D145=ExportPlatform,N145="Ready",A145&lt;&gt;""),COUNTIFS($D$7:D145,ExportPlatform,$N$7:N145,"Ready",$A$7:A145,"&lt;&gt;"),"")</f>
        <v/>
      </c>
    </row>
    <row r="146">
      <c r="A146" s="20" t="n"/>
      <c r="B146" s="21" t="n"/>
      <c r="C146" s="22">
        <f>IF(A146="","",CHOOSE(WEEKDAY(A146,2),"Mon","Tue","Wed","Thu","Fri","Sat","Sun"))</f>
        <v/>
      </c>
      <c r="D146" s="23" t="n"/>
      <c r="E146" s="23" t="n"/>
      <c r="F146" s="23" t="n"/>
      <c r="G146" s="24" t="n"/>
      <c r="H146" s="24" t="n"/>
      <c r="I146" s="22">
        <f>IF(H146="","",LEN(H146))</f>
        <v/>
      </c>
      <c r="J146" s="25">
        <f>IF(D146="","",IFERROR(INDEX(PlatformLimits,MATCH(D146,PlatformNames,0)),""))</f>
        <v/>
      </c>
      <c r="K146" s="24" t="n"/>
      <c r="L146" s="23" t="n"/>
      <c r="M146" s="23" t="n"/>
      <c r="N146" s="23" t="n"/>
      <c r="O146" s="24" t="n"/>
      <c r="P146" s="22">
        <f>IF(AND(D146=ExportPlatform,N146="Ready",A146&lt;&gt;""),COUNTIFS($D$7:D146,ExportPlatform,$N$7:N146,"Ready",$A$7:A146,"&lt;&gt;"),"")</f>
        <v/>
      </c>
    </row>
    <row r="147">
      <c r="A147" s="20" t="n"/>
      <c r="B147" s="21" t="n"/>
      <c r="C147" s="22">
        <f>IF(A147="","",CHOOSE(WEEKDAY(A147,2),"Mon","Tue","Wed","Thu","Fri","Sat","Sun"))</f>
        <v/>
      </c>
      <c r="D147" s="23" t="n"/>
      <c r="E147" s="23" t="n"/>
      <c r="F147" s="23" t="n"/>
      <c r="G147" s="24" t="n"/>
      <c r="H147" s="24" t="n"/>
      <c r="I147" s="22">
        <f>IF(H147="","",LEN(H147))</f>
        <v/>
      </c>
      <c r="J147" s="25">
        <f>IF(D147="","",IFERROR(INDEX(PlatformLimits,MATCH(D147,PlatformNames,0)),""))</f>
        <v/>
      </c>
      <c r="K147" s="24" t="n"/>
      <c r="L147" s="23" t="n"/>
      <c r="M147" s="23" t="n"/>
      <c r="N147" s="23" t="n"/>
      <c r="O147" s="24" t="n"/>
      <c r="P147" s="22">
        <f>IF(AND(D147=ExportPlatform,N147="Ready",A147&lt;&gt;""),COUNTIFS($D$7:D147,ExportPlatform,$N$7:N147,"Ready",$A$7:A147,"&lt;&gt;"),"")</f>
        <v/>
      </c>
    </row>
    <row r="148">
      <c r="A148" s="20" t="n"/>
      <c r="B148" s="21" t="n"/>
      <c r="C148" s="22">
        <f>IF(A148="","",CHOOSE(WEEKDAY(A148,2),"Mon","Tue","Wed","Thu","Fri","Sat","Sun"))</f>
        <v/>
      </c>
      <c r="D148" s="23" t="n"/>
      <c r="E148" s="23" t="n"/>
      <c r="F148" s="23" t="n"/>
      <c r="G148" s="24" t="n"/>
      <c r="H148" s="24" t="n"/>
      <c r="I148" s="22">
        <f>IF(H148="","",LEN(H148))</f>
        <v/>
      </c>
      <c r="J148" s="25">
        <f>IF(D148="","",IFERROR(INDEX(PlatformLimits,MATCH(D148,PlatformNames,0)),""))</f>
        <v/>
      </c>
      <c r="K148" s="24" t="n"/>
      <c r="L148" s="23" t="n"/>
      <c r="M148" s="23" t="n"/>
      <c r="N148" s="23" t="n"/>
      <c r="O148" s="24" t="n"/>
      <c r="P148" s="22">
        <f>IF(AND(D148=ExportPlatform,N148="Ready",A148&lt;&gt;""),COUNTIFS($D$7:D148,ExportPlatform,$N$7:N148,"Ready",$A$7:A148,"&lt;&gt;"),"")</f>
        <v/>
      </c>
    </row>
    <row r="149">
      <c r="A149" s="20" t="n"/>
      <c r="B149" s="21" t="n"/>
      <c r="C149" s="22">
        <f>IF(A149="","",CHOOSE(WEEKDAY(A149,2),"Mon","Tue","Wed","Thu","Fri","Sat","Sun"))</f>
        <v/>
      </c>
      <c r="D149" s="23" t="n"/>
      <c r="E149" s="23" t="n"/>
      <c r="F149" s="23" t="n"/>
      <c r="G149" s="24" t="n"/>
      <c r="H149" s="24" t="n"/>
      <c r="I149" s="22">
        <f>IF(H149="","",LEN(H149))</f>
        <v/>
      </c>
      <c r="J149" s="25">
        <f>IF(D149="","",IFERROR(INDEX(PlatformLimits,MATCH(D149,PlatformNames,0)),""))</f>
        <v/>
      </c>
      <c r="K149" s="24" t="n"/>
      <c r="L149" s="23" t="n"/>
      <c r="M149" s="23" t="n"/>
      <c r="N149" s="23" t="n"/>
      <c r="O149" s="24" t="n"/>
      <c r="P149" s="22">
        <f>IF(AND(D149=ExportPlatform,N149="Ready",A149&lt;&gt;""),COUNTIFS($D$7:D149,ExportPlatform,$N$7:N149,"Ready",$A$7:A149,"&lt;&gt;"),"")</f>
        <v/>
      </c>
    </row>
    <row r="150">
      <c r="A150" s="20" t="n"/>
      <c r="B150" s="21" t="n"/>
      <c r="C150" s="22">
        <f>IF(A150="","",CHOOSE(WEEKDAY(A150,2),"Mon","Tue","Wed","Thu","Fri","Sat","Sun"))</f>
        <v/>
      </c>
      <c r="D150" s="23" t="n"/>
      <c r="E150" s="23" t="n"/>
      <c r="F150" s="23" t="n"/>
      <c r="G150" s="24" t="n"/>
      <c r="H150" s="24" t="n"/>
      <c r="I150" s="22">
        <f>IF(H150="","",LEN(H150))</f>
        <v/>
      </c>
      <c r="J150" s="25">
        <f>IF(D150="","",IFERROR(INDEX(PlatformLimits,MATCH(D150,PlatformNames,0)),""))</f>
        <v/>
      </c>
      <c r="K150" s="24" t="n"/>
      <c r="L150" s="23" t="n"/>
      <c r="M150" s="23" t="n"/>
      <c r="N150" s="23" t="n"/>
      <c r="O150" s="24" t="n"/>
      <c r="P150" s="22">
        <f>IF(AND(D150=ExportPlatform,N150="Ready",A150&lt;&gt;""),COUNTIFS($D$7:D150,ExportPlatform,$N$7:N150,"Ready",$A$7:A150,"&lt;&gt;"),"")</f>
        <v/>
      </c>
    </row>
    <row r="151">
      <c r="A151" s="20" t="n"/>
      <c r="B151" s="21" t="n"/>
      <c r="C151" s="22">
        <f>IF(A151="","",CHOOSE(WEEKDAY(A151,2),"Mon","Tue","Wed","Thu","Fri","Sat","Sun"))</f>
        <v/>
      </c>
      <c r="D151" s="23" t="n"/>
      <c r="E151" s="23" t="n"/>
      <c r="F151" s="23" t="n"/>
      <c r="G151" s="24" t="n"/>
      <c r="H151" s="24" t="n"/>
      <c r="I151" s="22">
        <f>IF(H151="","",LEN(H151))</f>
        <v/>
      </c>
      <c r="J151" s="25">
        <f>IF(D151="","",IFERROR(INDEX(PlatformLimits,MATCH(D151,PlatformNames,0)),""))</f>
        <v/>
      </c>
      <c r="K151" s="24" t="n"/>
      <c r="L151" s="23" t="n"/>
      <c r="M151" s="23" t="n"/>
      <c r="N151" s="23" t="n"/>
      <c r="O151" s="24" t="n"/>
      <c r="P151" s="22">
        <f>IF(AND(D151=ExportPlatform,N151="Ready",A151&lt;&gt;""),COUNTIFS($D$7:D151,ExportPlatform,$N$7:N151,"Ready",$A$7:A151,"&lt;&gt;"),"")</f>
        <v/>
      </c>
    </row>
    <row r="152">
      <c r="A152" s="20" t="n"/>
      <c r="B152" s="21" t="n"/>
      <c r="C152" s="22">
        <f>IF(A152="","",CHOOSE(WEEKDAY(A152,2),"Mon","Tue","Wed","Thu","Fri","Sat","Sun"))</f>
        <v/>
      </c>
      <c r="D152" s="23" t="n"/>
      <c r="E152" s="23" t="n"/>
      <c r="F152" s="23" t="n"/>
      <c r="G152" s="24" t="n"/>
      <c r="H152" s="24" t="n"/>
      <c r="I152" s="22">
        <f>IF(H152="","",LEN(H152))</f>
        <v/>
      </c>
      <c r="J152" s="25">
        <f>IF(D152="","",IFERROR(INDEX(PlatformLimits,MATCH(D152,PlatformNames,0)),""))</f>
        <v/>
      </c>
      <c r="K152" s="24" t="n"/>
      <c r="L152" s="23" t="n"/>
      <c r="M152" s="23" t="n"/>
      <c r="N152" s="23" t="n"/>
      <c r="O152" s="24" t="n"/>
      <c r="P152" s="22">
        <f>IF(AND(D152=ExportPlatform,N152="Ready",A152&lt;&gt;""),COUNTIFS($D$7:D152,ExportPlatform,$N$7:N152,"Ready",$A$7:A152,"&lt;&gt;"),"")</f>
        <v/>
      </c>
    </row>
    <row r="153">
      <c r="A153" s="20" t="n"/>
      <c r="B153" s="21" t="n"/>
      <c r="C153" s="22">
        <f>IF(A153="","",CHOOSE(WEEKDAY(A153,2),"Mon","Tue","Wed","Thu","Fri","Sat","Sun"))</f>
        <v/>
      </c>
      <c r="D153" s="23" t="n"/>
      <c r="E153" s="23" t="n"/>
      <c r="F153" s="23" t="n"/>
      <c r="G153" s="24" t="n"/>
      <c r="H153" s="24" t="n"/>
      <c r="I153" s="22">
        <f>IF(H153="","",LEN(H153))</f>
        <v/>
      </c>
      <c r="J153" s="25">
        <f>IF(D153="","",IFERROR(INDEX(PlatformLimits,MATCH(D153,PlatformNames,0)),""))</f>
        <v/>
      </c>
      <c r="K153" s="24" t="n"/>
      <c r="L153" s="23" t="n"/>
      <c r="M153" s="23" t="n"/>
      <c r="N153" s="23" t="n"/>
      <c r="O153" s="24" t="n"/>
      <c r="P153" s="22">
        <f>IF(AND(D153=ExportPlatform,N153="Ready",A153&lt;&gt;""),COUNTIFS($D$7:D153,ExportPlatform,$N$7:N153,"Ready",$A$7:A153,"&lt;&gt;"),"")</f>
        <v/>
      </c>
    </row>
    <row r="154">
      <c r="A154" s="20" t="n"/>
      <c r="B154" s="21" t="n"/>
      <c r="C154" s="22">
        <f>IF(A154="","",CHOOSE(WEEKDAY(A154,2),"Mon","Tue","Wed","Thu","Fri","Sat","Sun"))</f>
        <v/>
      </c>
      <c r="D154" s="23" t="n"/>
      <c r="E154" s="23" t="n"/>
      <c r="F154" s="23" t="n"/>
      <c r="G154" s="24" t="n"/>
      <c r="H154" s="24" t="n"/>
      <c r="I154" s="22">
        <f>IF(H154="","",LEN(H154))</f>
        <v/>
      </c>
      <c r="J154" s="25">
        <f>IF(D154="","",IFERROR(INDEX(PlatformLimits,MATCH(D154,PlatformNames,0)),""))</f>
        <v/>
      </c>
      <c r="K154" s="24" t="n"/>
      <c r="L154" s="23" t="n"/>
      <c r="M154" s="23" t="n"/>
      <c r="N154" s="23" t="n"/>
      <c r="O154" s="24" t="n"/>
      <c r="P154" s="22">
        <f>IF(AND(D154=ExportPlatform,N154="Ready",A154&lt;&gt;""),COUNTIFS($D$7:D154,ExportPlatform,$N$7:N154,"Ready",$A$7:A154,"&lt;&gt;"),"")</f>
        <v/>
      </c>
    </row>
    <row r="155">
      <c r="A155" s="20" t="n"/>
      <c r="B155" s="21" t="n"/>
      <c r="C155" s="22">
        <f>IF(A155="","",CHOOSE(WEEKDAY(A155,2),"Mon","Tue","Wed","Thu","Fri","Sat","Sun"))</f>
        <v/>
      </c>
      <c r="D155" s="23" t="n"/>
      <c r="E155" s="23" t="n"/>
      <c r="F155" s="23" t="n"/>
      <c r="G155" s="24" t="n"/>
      <c r="H155" s="24" t="n"/>
      <c r="I155" s="22">
        <f>IF(H155="","",LEN(H155))</f>
        <v/>
      </c>
      <c r="J155" s="25">
        <f>IF(D155="","",IFERROR(INDEX(PlatformLimits,MATCH(D155,PlatformNames,0)),""))</f>
        <v/>
      </c>
      <c r="K155" s="24" t="n"/>
      <c r="L155" s="23" t="n"/>
      <c r="M155" s="23" t="n"/>
      <c r="N155" s="23" t="n"/>
      <c r="O155" s="24" t="n"/>
      <c r="P155" s="22">
        <f>IF(AND(D155=ExportPlatform,N155="Ready",A155&lt;&gt;""),COUNTIFS($D$7:D155,ExportPlatform,$N$7:N155,"Ready",$A$7:A155,"&lt;&gt;"),"")</f>
        <v/>
      </c>
    </row>
    <row r="156">
      <c r="A156" s="20" t="n"/>
      <c r="B156" s="21" t="n"/>
      <c r="C156" s="22">
        <f>IF(A156="","",CHOOSE(WEEKDAY(A156,2),"Mon","Tue","Wed","Thu","Fri","Sat","Sun"))</f>
        <v/>
      </c>
      <c r="D156" s="23" t="n"/>
      <c r="E156" s="23" t="n"/>
      <c r="F156" s="23" t="n"/>
      <c r="G156" s="24" t="n"/>
      <c r="H156" s="24" t="n"/>
      <c r="I156" s="22">
        <f>IF(H156="","",LEN(H156))</f>
        <v/>
      </c>
      <c r="J156" s="25">
        <f>IF(D156="","",IFERROR(INDEX(PlatformLimits,MATCH(D156,PlatformNames,0)),""))</f>
        <v/>
      </c>
      <c r="K156" s="24" t="n"/>
      <c r="L156" s="23" t="n"/>
      <c r="M156" s="23" t="n"/>
      <c r="N156" s="23" t="n"/>
      <c r="O156" s="24" t="n"/>
      <c r="P156" s="22">
        <f>IF(AND(D156=ExportPlatform,N156="Ready",A156&lt;&gt;""),COUNTIFS($D$7:D156,ExportPlatform,$N$7:N156,"Ready",$A$7:A156,"&lt;&gt;"),"")</f>
        <v/>
      </c>
    </row>
    <row r="157">
      <c r="A157" s="20" t="n"/>
      <c r="B157" s="21" t="n"/>
      <c r="C157" s="22">
        <f>IF(A157="","",CHOOSE(WEEKDAY(A157,2),"Mon","Tue","Wed","Thu","Fri","Sat","Sun"))</f>
        <v/>
      </c>
      <c r="D157" s="23" t="n"/>
      <c r="E157" s="23" t="n"/>
      <c r="F157" s="23" t="n"/>
      <c r="G157" s="24" t="n"/>
      <c r="H157" s="24" t="n"/>
      <c r="I157" s="22">
        <f>IF(H157="","",LEN(H157))</f>
        <v/>
      </c>
      <c r="J157" s="25">
        <f>IF(D157="","",IFERROR(INDEX(PlatformLimits,MATCH(D157,PlatformNames,0)),""))</f>
        <v/>
      </c>
      <c r="K157" s="24" t="n"/>
      <c r="L157" s="23" t="n"/>
      <c r="M157" s="23" t="n"/>
      <c r="N157" s="23" t="n"/>
      <c r="O157" s="24" t="n"/>
      <c r="P157" s="22">
        <f>IF(AND(D157=ExportPlatform,N157="Ready",A157&lt;&gt;""),COUNTIFS($D$7:D157,ExportPlatform,$N$7:N157,"Ready",$A$7:A157,"&lt;&gt;"),"")</f>
        <v/>
      </c>
    </row>
    <row r="158">
      <c r="A158" s="20" t="n"/>
      <c r="B158" s="21" t="n"/>
      <c r="C158" s="22">
        <f>IF(A158="","",CHOOSE(WEEKDAY(A158,2),"Mon","Tue","Wed","Thu","Fri","Sat","Sun"))</f>
        <v/>
      </c>
      <c r="D158" s="23" t="n"/>
      <c r="E158" s="23" t="n"/>
      <c r="F158" s="23" t="n"/>
      <c r="G158" s="24" t="n"/>
      <c r="H158" s="24" t="n"/>
      <c r="I158" s="22">
        <f>IF(H158="","",LEN(H158))</f>
        <v/>
      </c>
      <c r="J158" s="25">
        <f>IF(D158="","",IFERROR(INDEX(PlatformLimits,MATCH(D158,PlatformNames,0)),""))</f>
        <v/>
      </c>
      <c r="K158" s="24" t="n"/>
      <c r="L158" s="23" t="n"/>
      <c r="M158" s="23" t="n"/>
      <c r="N158" s="23" t="n"/>
      <c r="O158" s="24" t="n"/>
      <c r="P158" s="22">
        <f>IF(AND(D158=ExportPlatform,N158="Ready",A158&lt;&gt;""),COUNTIFS($D$7:D158,ExportPlatform,$N$7:N158,"Ready",$A$7:A158,"&lt;&gt;"),"")</f>
        <v/>
      </c>
    </row>
    <row r="159">
      <c r="A159" s="20" t="n"/>
      <c r="B159" s="21" t="n"/>
      <c r="C159" s="22">
        <f>IF(A159="","",CHOOSE(WEEKDAY(A159,2),"Mon","Tue","Wed","Thu","Fri","Sat","Sun"))</f>
        <v/>
      </c>
      <c r="D159" s="23" t="n"/>
      <c r="E159" s="23" t="n"/>
      <c r="F159" s="23" t="n"/>
      <c r="G159" s="24" t="n"/>
      <c r="H159" s="24" t="n"/>
      <c r="I159" s="22">
        <f>IF(H159="","",LEN(H159))</f>
        <v/>
      </c>
      <c r="J159" s="25">
        <f>IF(D159="","",IFERROR(INDEX(PlatformLimits,MATCH(D159,PlatformNames,0)),""))</f>
        <v/>
      </c>
      <c r="K159" s="24" t="n"/>
      <c r="L159" s="23" t="n"/>
      <c r="M159" s="23" t="n"/>
      <c r="N159" s="23" t="n"/>
      <c r="O159" s="24" t="n"/>
      <c r="P159" s="22">
        <f>IF(AND(D159=ExportPlatform,N159="Ready",A159&lt;&gt;""),COUNTIFS($D$7:D159,ExportPlatform,$N$7:N159,"Ready",$A$7:A159,"&lt;&gt;"),"")</f>
        <v/>
      </c>
    </row>
    <row r="160">
      <c r="A160" s="20" t="n"/>
      <c r="B160" s="21" t="n"/>
      <c r="C160" s="22">
        <f>IF(A160="","",CHOOSE(WEEKDAY(A160,2),"Mon","Tue","Wed","Thu","Fri","Sat","Sun"))</f>
        <v/>
      </c>
      <c r="D160" s="23" t="n"/>
      <c r="E160" s="23" t="n"/>
      <c r="F160" s="23" t="n"/>
      <c r="G160" s="24" t="n"/>
      <c r="H160" s="24" t="n"/>
      <c r="I160" s="22">
        <f>IF(H160="","",LEN(H160))</f>
        <v/>
      </c>
      <c r="J160" s="25">
        <f>IF(D160="","",IFERROR(INDEX(PlatformLimits,MATCH(D160,PlatformNames,0)),""))</f>
        <v/>
      </c>
      <c r="K160" s="24" t="n"/>
      <c r="L160" s="23" t="n"/>
      <c r="M160" s="23" t="n"/>
      <c r="N160" s="23" t="n"/>
      <c r="O160" s="24" t="n"/>
      <c r="P160" s="22">
        <f>IF(AND(D160=ExportPlatform,N160="Ready",A160&lt;&gt;""),COUNTIFS($D$7:D160,ExportPlatform,$N$7:N160,"Ready",$A$7:A160,"&lt;&gt;"),"")</f>
        <v/>
      </c>
    </row>
    <row r="161">
      <c r="A161" s="20" t="n"/>
      <c r="B161" s="21" t="n"/>
      <c r="C161" s="22">
        <f>IF(A161="","",CHOOSE(WEEKDAY(A161,2),"Mon","Tue","Wed","Thu","Fri","Sat","Sun"))</f>
        <v/>
      </c>
      <c r="D161" s="23" t="n"/>
      <c r="E161" s="23" t="n"/>
      <c r="F161" s="23" t="n"/>
      <c r="G161" s="24" t="n"/>
      <c r="H161" s="24" t="n"/>
      <c r="I161" s="22">
        <f>IF(H161="","",LEN(H161))</f>
        <v/>
      </c>
      <c r="J161" s="25">
        <f>IF(D161="","",IFERROR(INDEX(PlatformLimits,MATCH(D161,PlatformNames,0)),""))</f>
        <v/>
      </c>
      <c r="K161" s="24" t="n"/>
      <c r="L161" s="23" t="n"/>
      <c r="M161" s="23" t="n"/>
      <c r="N161" s="23" t="n"/>
      <c r="O161" s="24" t="n"/>
      <c r="P161" s="22">
        <f>IF(AND(D161=ExportPlatform,N161="Ready",A161&lt;&gt;""),COUNTIFS($D$7:D161,ExportPlatform,$N$7:N161,"Ready",$A$7:A161,"&lt;&gt;"),"")</f>
        <v/>
      </c>
    </row>
    <row r="162">
      <c r="A162" s="20" t="n"/>
      <c r="B162" s="21" t="n"/>
      <c r="C162" s="22">
        <f>IF(A162="","",CHOOSE(WEEKDAY(A162,2),"Mon","Tue","Wed","Thu","Fri","Sat","Sun"))</f>
        <v/>
      </c>
      <c r="D162" s="23" t="n"/>
      <c r="E162" s="23" t="n"/>
      <c r="F162" s="23" t="n"/>
      <c r="G162" s="24" t="n"/>
      <c r="H162" s="24" t="n"/>
      <c r="I162" s="22">
        <f>IF(H162="","",LEN(H162))</f>
        <v/>
      </c>
      <c r="J162" s="25">
        <f>IF(D162="","",IFERROR(INDEX(PlatformLimits,MATCH(D162,PlatformNames,0)),""))</f>
        <v/>
      </c>
      <c r="K162" s="24" t="n"/>
      <c r="L162" s="23" t="n"/>
      <c r="M162" s="23" t="n"/>
      <c r="N162" s="23" t="n"/>
      <c r="O162" s="24" t="n"/>
      <c r="P162" s="22">
        <f>IF(AND(D162=ExportPlatform,N162="Ready",A162&lt;&gt;""),COUNTIFS($D$7:D162,ExportPlatform,$N$7:N162,"Ready",$A$7:A162,"&lt;&gt;"),"")</f>
        <v/>
      </c>
    </row>
    <row r="163">
      <c r="A163" s="20" t="n"/>
      <c r="B163" s="21" t="n"/>
      <c r="C163" s="22">
        <f>IF(A163="","",CHOOSE(WEEKDAY(A163,2),"Mon","Tue","Wed","Thu","Fri","Sat","Sun"))</f>
        <v/>
      </c>
      <c r="D163" s="23" t="n"/>
      <c r="E163" s="23" t="n"/>
      <c r="F163" s="23" t="n"/>
      <c r="G163" s="24" t="n"/>
      <c r="H163" s="24" t="n"/>
      <c r="I163" s="22">
        <f>IF(H163="","",LEN(H163))</f>
        <v/>
      </c>
      <c r="J163" s="25">
        <f>IF(D163="","",IFERROR(INDEX(PlatformLimits,MATCH(D163,PlatformNames,0)),""))</f>
        <v/>
      </c>
      <c r="K163" s="24" t="n"/>
      <c r="L163" s="23" t="n"/>
      <c r="M163" s="23" t="n"/>
      <c r="N163" s="23" t="n"/>
      <c r="O163" s="24" t="n"/>
      <c r="P163" s="22">
        <f>IF(AND(D163=ExportPlatform,N163="Ready",A163&lt;&gt;""),COUNTIFS($D$7:D163,ExportPlatform,$N$7:N163,"Ready",$A$7:A163,"&lt;&gt;"),"")</f>
        <v/>
      </c>
    </row>
    <row r="164">
      <c r="A164" s="20" t="n"/>
      <c r="B164" s="21" t="n"/>
      <c r="C164" s="22">
        <f>IF(A164="","",CHOOSE(WEEKDAY(A164,2),"Mon","Tue","Wed","Thu","Fri","Sat","Sun"))</f>
        <v/>
      </c>
      <c r="D164" s="23" t="n"/>
      <c r="E164" s="23" t="n"/>
      <c r="F164" s="23" t="n"/>
      <c r="G164" s="24" t="n"/>
      <c r="H164" s="24" t="n"/>
      <c r="I164" s="22">
        <f>IF(H164="","",LEN(H164))</f>
        <v/>
      </c>
      <c r="J164" s="25">
        <f>IF(D164="","",IFERROR(INDEX(PlatformLimits,MATCH(D164,PlatformNames,0)),""))</f>
        <v/>
      </c>
      <c r="K164" s="24" t="n"/>
      <c r="L164" s="23" t="n"/>
      <c r="M164" s="23" t="n"/>
      <c r="N164" s="23" t="n"/>
      <c r="O164" s="24" t="n"/>
      <c r="P164" s="22">
        <f>IF(AND(D164=ExportPlatform,N164="Ready",A164&lt;&gt;""),COUNTIFS($D$7:D164,ExportPlatform,$N$7:N164,"Ready",$A$7:A164,"&lt;&gt;"),"")</f>
        <v/>
      </c>
    </row>
    <row r="165">
      <c r="A165" s="20" t="n"/>
      <c r="B165" s="21" t="n"/>
      <c r="C165" s="22">
        <f>IF(A165="","",CHOOSE(WEEKDAY(A165,2),"Mon","Tue","Wed","Thu","Fri","Sat","Sun"))</f>
        <v/>
      </c>
      <c r="D165" s="23" t="n"/>
      <c r="E165" s="23" t="n"/>
      <c r="F165" s="23" t="n"/>
      <c r="G165" s="24" t="n"/>
      <c r="H165" s="24" t="n"/>
      <c r="I165" s="22">
        <f>IF(H165="","",LEN(H165))</f>
        <v/>
      </c>
      <c r="J165" s="25">
        <f>IF(D165="","",IFERROR(INDEX(PlatformLimits,MATCH(D165,PlatformNames,0)),""))</f>
        <v/>
      </c>
      <c r="K165" s="24" t="n"/>
      <c r="L165" s="23" t="n"/>
      <c r="M165" s="23" t="n"/>
      <c r="N165" s="23" t="n"/>
      <c r="O165" s="24" t="n"/>
      <c r="P165" s="22">
        <f>IF(AND(D165=ExportPlatform,N165="Ready",A165&lt;&gt;""),COUNTIFS($D$7:D165,ExportPlatform,$N$7:N165,"Ready",$A$7:A165,"&lt;&gt;"),"")</f>
        <v/>
      </c>
    </row>
    <row r="166">
      <c r="A166" s="20" t="n"/>
      <c r="B166" s="21" t="n"/>
      <c r="C166" s="22">
        <f>IF(A166="","",CHOOSE(WEEKDAY(A166,2),"Mon","Tue","Wed","Thu","Fri","Sat","Sun"))</f>
        <v/>
      </c>
      <c r="D166" s="23" t="n"/>
      <c r="E166" s="23" t="n"/>
      <c r="F166" s="23" t="n"/>
      <c r="G166" s="24" t="n"/>
      <c r="H166" s="24" t="n"/>
      <c r="I166" s="22">
        <f>IF(H166="","",LEN(H166))</f>
        <v/>
      </c>
      <c r="J166" s="25">
        <f>IF(D166="","",IFERROR(INDEX(PlatformLimits,MATCH(D166,PlatformNames,0)),""))</f>
        <v/>
      </c>
      <c r="K166" s="24" t="n"/>
      <c r="L166" s="23" t="n"/>
      <c r="M166" s="23" t="n"/>
      <c r="N166" s="23" t="n"/>
      <c r="O166" s="24" t="n"/>
      <c r="P166" s="22">
        <f>IF(AND(D166=ExportPlatform,N166="Ready",A166&lt;&gt;""),COUNTIFS($D$7:D166,ExportPlatform,$N$7:N166,"Ready",$A$7:A166,"&lt;&gt;"),"")</f>
        <v/>
      </c>
    </row>
    <row r="167">
      <c r="A167" s="20" t="n"/>
      <c r="B167" s="21" t="n"/>
      <c r="C167" s="22">
        <f>IF(A167="","",CHOOSE(WEEKDAY(A167,2),"Mon","Tue","Wed","Thu","Fri","Sat","Sun"))</f>
        <v/>
      </c>
      <c r="D167" s="23" t="n"/>
      <c r="E167" s="23" t="n"/>
      <c r="F167" s="23" t="n"/>
      <c r="G167" s="24" t="n"/>
      <c r="H167" s="24" t="n"/>
      <c r="I167" s="22">
        <f>IF(H167="","",LEN(H167))</f>
        <v/>
      </c>
      <c r="J167" s="25">
        <f>IF(D167="","",IFERROR(INDEX(PlatformLimits,MATCH(D167,PlatformNames,0)),""))</f>
        <v/>
      </c>
      <c r="K167" s="24" t="n"/>
      <c r="L167" s="23" t="n"/>
      <c r="M167" s="23" t="n"/>
      <c r="N167" s="23" t="n"/>
      <c r="O167" s="24" t="n"/>
      <c r="P167" s="22">
        <f>IF(AND(D167=ExportPlatform,N167="Ready",A167&lt;&gt;""),COUNTIFS($D$7:D167,ExportPlatform,$N$7:N167,"Ready",$A$7:A167,"&lt;&gt;"),"")</f>
        <v/>
      </c>
    </row>
    <row r="168">
      <c r="A168" s="20" t="n"/>
      <c r="B168" s="21" t="n"/>
      <c r="C168" s="22">
        <f>IF(A168="","",CHOOSE(WEEKDAY(A168,2),"Mon","Tue","Wed","Thu","Fri","Sat","Sun"))</f>
        <v/>
      </c>
      <c r="D168" s="23" t="n"/>
      <c r="E168" s="23" t="n"/>
      <c r="F168" s="23" t="n"/>
      <c r="G168" s="24" t="n"/>
      <c r="H168" s="24" t="n"/>
      <c r="I168" s="22">
        <f>IF(H168="","",LEN(H168))</f>
        <v/>
      </c>
      <c r="J168" s="25">
        <f>IF(D168="","",IFERROR(INDEX(PlatformLimits,MATCH(D168,PlatformNames,0)),""))</f>
        <v/>
      </c>
      <c r="K168" s="24" t="n"/>
      <c r="L168" s="23" t="n"/>
      <c r="M168" s="23" t="n"/>
      <c r="N168" s="23" t="n"/>
      <c r="O168" s="24" t="n"/>
      <c r="P168" s="22">
        <f>IF(AND(D168=ExportPlatform,N168="Ready",A168&lt;&gt;""),COUNTIFS($D$7:D168,ExportPlatform,$N$7:N168,"Ready",$A$7:A168,"&lt;&gt;"),"")</f>
        <v/>
      </c>
    </row>
    <row r="169">
      <c r="A169" s="20" t="n"/>
      <c r="B169" s="21" t="n"/>
      <c r="C169" s="22">
        <f>IF(A169="","",CHOOSE(WEEKDAY(A169,2),"Mon","Tue","Wed","Thu","Fri","Sat","Sun"))</f>
        <v/>
      </c>
      <c r="D169" s="23" t="n"/>
      <c r="E169" s="23" t="n"/>
      <c r="F169" s="23" t="n"/>
      <c r="G169" s="24" t="n"/>
      <c r="H169" s="24" t="n"/>
      <c r="I169" s="22">
        <f>IF(H169="","",LEN(H169))</f>
        <v/>
      </c>
      <c r="J169" s="25">
        <f>IF(D169="","",IFERROR(INDEX(PlatformLimits,MATCH(D169,PlatformNames,0)),""))</f>
        <v/>
      </c>
      <c r="K169" s="24" t="n"/>
      <c r="L169" s="23" t="n"/>
      <c r="M169" s="23" t="n"/>
      <c r="N169" s="23" t="n"/>
      <c r="O169" s="24" t="n"/>
      <c r="P169" s="22">
        <f>IF(AND(D169=ExportPlatform,N169="Ready",A169&lt;&gt;""),COUNTIFS($D$7:D169,ExportPlatform,$N$7:N169,"Ready",$A$7:A169,"&lt;&gt;"),"")</f>
        <v/>
      </c>
    </row>
    <row r="170">
      <c r="A170" s="20" t="n"/>
      <c r="B170" s="21" t="n"/>
      <c r="C170" s="22">
        <f>IF(A170="","",CHOOSE(WEEKDAY(A170,2),"Mon","Tue","Wed","Thu","Fri","Sat","Sun"))</f>
        <v/>
      </c>
      <c r="D170" s="23" t="n"/>
      <c r="E170" s="23" t="n"/>
      <c r="F170" s="23" t="n"/>
      <c r="G170" s="24" t="n"/>
      <c r="H170" s="24" t="n"/>
      <c r="I170" s="22">
        <f>IF(H170="","",LEN(H170))</f>
        <v/>
      </c>
      <c r="J170" s="25">
        <f>IF(D170="","",IFERROR(INDEX(PlatformLimits,MATCH(D170,PlatformNames,0)),""))</f>
        <v/>
      </c>
      <c r="K170" s="24" t="n"/>
      <c r="L170" s="23" t="n"/>
      <c r="M170" s="23" t="n"/>
      <c r="N170" s="23" t="n"/>
      <c r="O170" s="24" t="n"/>
      <c r="P170" s="22">
        <f>IF(AND(D170=ExportPlatform,N170="Ready",A170&lt;&gt;""),COUNTIFS($D$7:D170,ExportPlatform,$N$7:N170,"Ready",$A$7:A170,"&lt;&gt;"),"")</f>
        <v/>
      </c>
    </row>
    <row r="171">
      <c r="A171" s="20" t="n"/>
      <c r="B171" s="21" t="n"/>
      <c r="C171" s="22">
        <f>IF(A171="","",CHOOSE(WEEKDAY(A171,2),"Mon","Tue","Wed","Thu","Fri","Sat","Sun"))</f>
        <v/>
      </c>
      <c r="D171" s="23" t="n"/>
      <c r="E171" s="23" t="n"/>
      <c r="F171" s="23" t="n"/>
      <c r="G171" s="24" t="n"/>
      <c r="H171" s="24" t="n"/>
      <c r="I171" s="22">
        <f>IF(H171="","",LEN(H171))</f>
        <v/>
      </c>
      <c r="J171" s="25">
        <f>IF(D171="","",IFERROR(INDEX(PlatformLimits,MATCH(D171,PlatformNames,0)),""))</f>
        <v/>
      </c>
      <c r="K171" s="24" t="n"/>
      <c r="L171" s="23" t="n"/>
      <c r="M171" s="23" t="n"/>
      <c r="N171" s="23" t="n"/>
      <c r="O171" s="24" t="n"/>
      <c r="P171" s="22">
        <f>IF(AND(D171=ExportPlatform,N171="Ready",A171&lt;&gt;""),COUNTIFS($D$7:D171,ExportPlatform,$N$7:N171,"Ready",$A$7:A171,"&lt;&gt;"),"")</f>
        <v/>
      </c>
    </row>
    <row r="172">
      <c r="A172" s="20" t="n"/>
      <c r="B172" s="21" t="n"/>
      <c r="C172" s="22">
        <f>IF(A172="","",CHOOSE(WEEKDAY(A172,2),"Mon","Tue","Wed","Thu","Fri","Sat","Sun"))</f>
        <v/>
      </c>
      <c r="D172" s="23" t="n"/>
      <c r="E172" s="23" t="n"/>
      <c r="F172" s="23" t="n"/>
      <c r="G172" s="24" t="n"/>
      <c r="H172" s="24" t="n"/>
      <c r="I172" s="22">
        <f>IF(H172="","",LEN(H172))</f>
        <v/>
      </c>
      <c r="J172" s="25">
        <f>IF(D172="","",IFERROR(INDEX(PlatformLimits,MATCH(D172,PlatformNames,0)),""))</f>
        <v/>
      </c>
      <c r="K172" s="24" t="n"/>
      <c r="L172" s="23" t="n"/>
      <c r="M172" s="23" t="n"/>
      <c r="N172" s="23" t="n"/>
      <c r="O172" s="24" t="n"/>
      <c r="P172" s="22">
        <f>IF(AND(D172=ExportPlatform,N172="Ready",A172&lt;&gt;""),COUNTIFS($D$7:D172,ExportPlatform,$N$7:N172,"Ready",$A$7:A172,"&lt;&gt;"),"")</f>
        <v/>
      </c>
    </row>
    <row r="173">
      <c r="A173" s="20" t="n"/>
      <c r="B173" s="21" t="n"/>
      <c r="C173" s="22">
        <f>IF(A173="","",CHOOSE(WEEKDAY(A173,2),"Mon","Tue","Wed","Thu","Fri","Sat","Sun"))</f>
        <v/>
      </c>
      <c r="D173" s="23" t="n"/>
      <c r="E173" s="23" t="n"/>
      <c r="F173" s="23" t="n"/>
      <c r="G173" s="24" t="n"/>
      <c r="H173" s="24" t="n"/>
      <c r="I173" s="22">
        <f>IF(H173="","",LEN(H173))</f>
        <v/>
      </c>
      <c r="J173" s="25">
        <f>IF(D173="","",IFERROR(INDEX(PlatformLimits,MATCH(D173,PlatformNames,0)),""))</f>
        <v/>
      </c>
      <c r="K173" s="24" t="n"/>
      <c r="L173" s="23" t="n"/>
      <c r="M173" s="23" t="n"/>
      <c r="N173" s="23" t="n"/>
      <c r="O173" s="24" t="n"/>
      <c r="P173" s="22">
        <f>IF(AND(D173=ExportPlatform,N173="Ready",A173&lt;&gt;""),COUNTIFS($D$7:D173,ExportPlatform,$N$7:N173,"Ready",$A$7:A173,"&lt;&gt;"),"")</f>
        <v/>
      </c>
    </row>
    <row r="174">
      <c r="A174" s="20" t="n"/>
      <c r="B174" s="21" t="n"/>
      <c r="C174" s="22">
        <f>IF(A174="","",CHOOSE(WEEKDAY(A174,2),"Mon","Tue","Wed","Thu","Fri","Sat","Sun"))</f>
        <v/>
      </c>
      <c r="D174" s="23" t="n"/>
      <c r="E174" s="23" t="n"/>
      <c r="F174" s="23" t="n"/>
      <c r="G174" s="24" t="n"/>
      <c r="H174" s="24" t="n"/>
      <c r="I174" s="22">
        <f>IF(H174="","",LEN(H174))</f>
        <v/>
      </c>
      <c r="J174" s="25">
        <f>IF(D174="","",IFERROR(INDEX(PlatformLimits,MATCH(D174,PlatformNames,0)),""))</f>
        <v/>
      </c>
      <c r="K174" s="24" t="n"/>
      <c r="L174" s="23" t="n"/>
      <c r="M174" s="23" t="n"/>
      <c r="N174" s="23" t="n"/>
      <c r="O174" s="24" t="n"/>
      <c r="P174" s="22">
        <f>IF(AND(D174=ExportPlatform,N174="Ready",A174&lt;&gt;""),COUNTIFS($D$7:D174,ExportPlatform,$N$7:N174,"Ready",$A$7:A174,"&lt;&gt;"),"")</f>
        <v/>
      </c>
    </row>
    <row r="175">
      <c r="A175" s="20" t="n"/>
      <c r="B175" s="21" t="n"/>
      <c r="C175" s="22">
        <f>IF(A175="","",CHOOSE(WEEKDAY(A175,2),"Mon","Tue","Wed","Thu","Fri","Sat","Sun"))</f>
        <v/>
      </c>
      <c r="D175" s="23" t="n"/>
      <c r="E175" s="23" t="n"/>
      <c r="F175" s="23" t="n"/>
      <c r="G175" s="24" t="n"/>
      <c r="H175" s="24" t="n"/>
      <c r="I175" s="22">
        <f>IF(H175="","",LEN(H175))</f>
        <v/>
      </c>
      <c r="J175" s="25">
        <f>IF(D175="","",IFERROR(INDEX(PlatformLimits,MATCH(D175,PlatformNames,0)),""))</f>
        <v/>
      </c>
      <c r="K175" s="24" t="n"/>
      <c r="L175" s="23" t="n"/>
      <c r="M175" s="23" t="n"/>
      <c r="N175" s="23" t="n"/>
      <c r="O175" s="24" t="n"/>
      <c r="P175" s="22">
        <f>IF(AND(D175=ExportPlatform,N175="Ready",A175&lt;&gt;""),COUNTIFS($D$7:D175,ExportPlatform,$N$7:N175,"Ready",$A$7:A175,"&lt;&gt;"),"")</f>
        <v/>
      </c>
    </row>
    <row r="176">
      <c r="A176" s="20" t="n"/>
      <c r="B176" s="21" t="n"/>
      <c r="C176" s="22">
        <f>IF(A176="","",CHOOSE(WEEKDAY(A176,2),"Mon","Tue","Wed","Thu","Fri","Sat","Sun"))</f>
        <v/>
      </c>
      <c r="D176" s="23" t="n"/>
      <c r="E176" s="23" t="n"/>
      <c r="F176" s="23" t="n"/>
      <c r="G176" s="24" t="n"/>
      <c r="H176" s="24" t="n"/>
      <c r="I176" s="22">
        <f>IF(H176="","",LEN(H176))</f>
        <v/>
      </c>
      <c r="J176" s="25">
        <f>IF(D176="","",IFERROR(INDEX(PlatformLimits,MATCH(D176,PlatformNames,0)),""))</f>
        <v/>
      </c>
      <c r="K176" s="24" t="n"/>
      <c r="L176" s="23" t="n"/>
      <c r="M176" s="23" t="n"/>
      <c r="N176" s="23" t="n"/>
      <c r="O176" s="24" t="n"/>
      <c r="P176" s="22">
        <f>IF(AND(D176=ExportPlatform,N176="Ready",A176&lt;&gt;""),COUNTIFS($D$7:D176,ExportPlatform,$N$7:N176,"Ready",$A$7:A176,"&lt;&gt;"),"")</f>
        <v/>
      </c>
    </row>
    <row r="177">
      <c r="A177" s="20" t="n"/>
      <c r="B177" s="21" t="n"/>
      <c r="C177" s="22">
        <f>IF(A177="","",CHOOSE(WEEKDAY(A177,2),"Mon","Tue","Wed","Thu","Fri","Sat","Sun"))</f>
        <v/>
      </c>
      <c r="D177" s="23" t="n"/>
      <c r="E177" s="23" t="n"/>
      <c r="F177" s="23" t="n"/>
      <c r="G177" s="24" t="n"/>
      <c r="H177" s="24" t="n"/>
      <c r="I177" s="22">
        <f>IF(H177="","",LEN(H177))</f>
        <v/>
      </c>
      <c r="J177" s="25">
        <f>IF(D177="","",IFERROR(INDEX(PlatformLimits,MATCH(D177,PlatformNames,0)),""))</f>
        <v/>
      </c>
      <c r="K177" s="24" t="n"/>
      <c r="L177" s="23" t="n"/>
      <c r="M177" s="23" t="n"/>
      <c r="N177" s="23" t="n"/>
      <c r="O177" s="24" t="n"/>
      <c r="P177" s="22">
        <f>IF(AND(D177=ExportPlatform,N177="Ready",A177&lt;&gt;""),COUNTIFS($D$7:D177,ExportPlatform,$N$7:N177,"Ready",$A$7:A177,"&lt;&gt;"),"")</f>
        <v/>
      </c>
    </row>
    <row r="178">
      <c r="A178" s="20" t="n"/>
      <c r="B178" s="21" t="n"/>
      <c r="C178" s="22">
        <f>IF(A178="","",CHOOSE(WEEKDAY(A178,2),"Mon","Tue","Wed","Thu","Fri","Sat","Sun"))</f>
        <v/>
      </c>
      <c r="D178" s="23" t="n"/>
      <c r="E178" s="23" t="n"/>
      <c r="F178" s="23" t="n"/>
      <c r="G178" s="24" t="n"/>
      <c r="H178" s="24" t="n"/>
      <c r="I178" s="22">
        <f>IF(H178="","",LEN(H178))</f>
        <v/>
      </c>
      <c r="J178" s="25">
        <f>IF(D178="","",IFERROR(INDEX(PlatformLimits,MATCH(D178,PlatformNames,0)),""))</f>
        <v/>
      </c>
      <c r="K178" s="24" t="n"/>
      <c r="L178" s="23" t="n"/>
      <c r="M178" s="23" t="n"/>
      <c r="N178" s="23" t="n"/>
      <c r="O178" s="24" t="n"/>
      <c r="P178" s="22">
        <f>IF(AND(D178=ExportPlatform,N178="Ready",A178&lt;&gt;""),COUNTIFS($D$7:D178,ExportPlatform,$N$7:N178,"Ready",$A$7:A178,"&lt;&gt;"),"")</f>
        <v/>
      </c>
    </row>
    <row r="179">
      <c r="A179" s="20" t="n"/>
      <c r="B179" s="21" t="n"/>
      <c r="C179" s="22">
        <f>IF(A179="","",CHOOSE(WEEKDAY(A179,2),"Mon","Tue","Wed","Thu","Fri","Sat","Sun"))</f>
        <v/>
      </c>
      <c r="D179" s="23" t="n"/>
      <c r="E179" s="23" t="n"/>
      <c r="F179" s="23" t="n"/>
      <c r="G179" s="24" t="n"/>
      <c r="H179" s="24" t="n"/>
      <c r="I179" s="22">
        <f>IF(H179="","",LEN(H179))</f>
        <v/>
      </c>
      <c r="J179" s="25">
        <f>IF(D179="","",IFERROR(INDEX(PlatformLimits,MATCH(D179,PlatformNames,0)),""))</f>
        <v/>
      </c>
      <c r="K179" s="24" t="n"/>
      <c r="L179" s="23" t="n"/>
      <c r="M179" s="23" t="n"/>
      <c r="N179" s="23" t="n"/>
      <c r="O179" s="24" t="n"/>
      <c r="P179" s="22">
        <f>IF(AND(D179=ExportPlatform,N179="Ready",A179&lt;&gt;""),COUNTIFS($D$7:D179,ExportPlatform,$N$7:N179,"Ready",$A$7:A179,"&lt;&gt;"),"")</f>
        <v/>
      </c>
    </row>
    <row r="180">
      <c r="A180" s="20" t="n"/>
      <c r="B180" s="21" t="n"/>
      <c r="C180" s="22">
        <f>IF(A180="","",CHOOSE(WEEKDAY(A180,2),"Mon","Tue","Wed","Thu","Fri","Sat","Sun"))</f>
        <v/>
      </c>
      <c r="D180" s="23" t="n"/>
      <c r="E180" s="23" t="n"/>
      <c r="F180" s="23" t="n"/>
      <c r="G180" s="24" t="n"/>
      <c r="H180" s="24" t="n"/>
      <c r="I180" s="22">
        <f>IF(H180="","",LEN(H180))</f>
        <v/>
      </c>
      <c r="J180" s="25">
        <f>IF(D180="","",IFERROR(INDEX(PlatformLimits,MATCH(D180,PlatformNames,0)),""))</f>
        <v/>
      </c>
      <c r="K180" s="24" t="n"/>
      <c r="L180" s="23" t="n"/>
      <c r="M180" s="23" t="n"/>
      <c r="N180" s="23" t="n"/>
      <c r="O180" s="24" t="n"/>
      <c r="P180" s="22">
        <f>IF(AND(D180=ExportPlatform,N180="Ready",A180&lt;&gt;""),COUNTIFS($D$7:D180,ExportPlatform,$N$7:N180,"Ready",$A$7:A180,"&lt;&gt;"),"")</f>
        <v/>
      </c>
    </row>
    <row r="181">
      <c r="A181" s="20" t="n"/>
      <c r="B181" s="21" t="n"/>
      <c r="C181" s="22">
        <f>IF(A181="","",CHOOSE(WEEKDAY(A181,2),"Mon","Tue","Wed","Thu","Fri","Sat","Sun"))</f>
        <v/>
      </c>
      <c r="D181" s="23" t="n"/>
      <c r="E181" s="23" t="n"/>
      <c r="F181" s="23" t="n"/>
      <c r="G181" s="24" t="n"/>
      <c r="H181" s="24" t="n"/>
      <c r="I181" s="22">
        <f>IF(H181="","",LEN(H181))</f>
        <v/>
      </c>
      <c r="J181" s="25">
        <f>IF(D181="","",IFERROR(INDEX(PlatformLimits,MATCH(D181,PlatformNames,0)),""))</f>
        <v/>
      </c>
      <c r="K181" s="24" t="n"/>
      <c r="L181" s="23" t="n"/>
      <c r="M181" s="23" t="n"/>
      <c r="N181" s="23" t="n"/>
      <c r="O181" s="24" t="n"/>
      <c r="P181" s="22">
        <f>IF(AND(D181=ExportPlatform,N181="Ready",A181&lt;&gt;""),COUNTIFS($D$7:D181,ExportPlatform,$N$7:N181,"Ready",$A$7:A181,"&lt;&gt;"),"")</f>
        <v/>
      </c>
    </row>
    <row r="182">
      <c r="A182" s="20" t="n"/>
      <c r="B182" s="21" t="n"/>
      <c r="C182" s="22">
        <f>IF(A182="","",CHOOSE(WEEKDAY(A182,2),"Mon","Tue","Wed","Thu","Fri","Sat","Sun"))</f>
        <v/>
      </c>
      <c r="D182" s="23" t="n"/>
      <c r="E182" s="23" t="n"/>
      <c r="F182" s="23" t="n"/>
      <c r="G182" s="24" t="n"/>
      <c r="H182" s="24" t="n"/>
      <c r="I182" s="22">
        <f>IF(H182="","",LEN(H182))</f>
        <v/>
      </c>
      <c r="J182" s="25">
        <f>IF(D182="","",IFERROR(INDEX(PlatformLimits,MATCH(D182,PlatformNames,0)),""))</f>
        <v/>
      </c>
      <c r="K182" s="24" t="n"/>
      <c r="L182" s="23" t="n"/>
      <c r="M182" s="23" t="n"/>
      <c r="N182" s="23" t="n"/>
      <c r="O182" s="24" t="n"/>
      <c r="P182" s="22">
        <f>IF(AND(D182=ExportPlatform,N182="Ready",A182&lt;&gt;""),COUNTIFS($D$7:D182,ExportPlatform,$N$7:N182,"Ready",$A$7:A182,"&lt;&gt;"),"")</f>
        <v/>
      </c>
    </row>
    <row r="183">
      <c r="A183" s="20" t="n"/>
      <c r="B183" s="21" t="n"/>
      <c r="C183" s="22">
        <f>IF(A183="","",CHOOSE(WEEKDAY(A183,2),"Mon","Tue","Wed","Thu","Fri","Sat","Sun"))</f>
        <v/>
      </c>
      <c r="D183" s="23" t="n"/>
      <c r="E183" s="23" t="n"/>
      <c r="F183" s="23" t="n"/>
      <c r="G183" s="24" t="n"/>
      <c r="H183" s="24" t="n"/>
      <c r="I183" s="22">
        <f>IF(H183="","",LEN(H183))</f>
        <v/>
      </c>
      <c r="J183" s="25">
        <f>IF(D183="","",IFERROR(INDEX(PlatformLimits,MATCH(D183,PlatformNames,0)),""))</f>
        <v/>
      </c>
      <c r="K183" s="24" t="n"/>
      <c r="L183" s="23" t="n"/>
      <c r="M183" s="23" t="n"/>
      <c r="N183" s="23" t="n"/>
      <c r="O183" s="24" t="n"/>
      <c r="P183" s="22">
        <f>IF(AND(D183=ExportPlatform,N183="Ready",A183&lt;&gt;""),COUNTIFS($D$7:D183,ExportPlatform,$N$7:N183,"Ready",$A$7:A183,"&lt;&gt;"),"")</f>
        <v/>
      </c>
    </row>
    <row r="184">
      <c r="A184" s="20" t="n"/>
      <c r="B184" s="21" t="n"/>
      <c r="C184" s="22">
        <f>IF(A184="","",CHOOSE(WEEKDAY(A184,2),"Mon","Tue","Wed","Thu","Fri","Sat","Sun"))</f>
        <v/>
      </c>
      <c r="D184" s="23" t="n"/>
      <c r="E184" s="23" t="n"/>
      <c r="F184" s="23" t="n"/>
      <c r="G184" s="24" t="n"/>
      <c r="H184" s="24" t="n"/>
      <c r="I184" s="22">
        <f>IF(H184="","",LEN(H184))</f>
        <v/>
      </c>
      <c r="J184" s="25">
        <f>IF(D184="","",IFERROR(INDEX(PlatformLimits,MATCH(D184,PlatformNames,0)),""))</f>
        <v/>
      </c>
      <c r="K184" s="24" t="n"/>
      <c r="L184" s="23" t="n"/>
      <c r="M184" s="23" t="n"/>
      <c r="N184" s="23" t="n"/>
      <c r="O184" s="24" t="n"/>
      <c r="P184" s="22">
        <f>IF(AND(D184=ExportPlatform,N184="Ready",A184&lt;&gt;""),COUNTIFS($D$7:D184,ExportPlatform,$N$7:N184,"Ready",$A$7:A184,"&lt;&gt;"),"")</f>
        <v/>
      </c>
    </row>
    <row r="185">
      <c r="A185" s="20" t="n"/>
      <c r="B185" s="21" t="n"/>
      <c r="C185" s="22">
        <f>IF(A185="","",CHOOSE(WEEKDAY(A185,2),"Mon","Tue","Wed","Thu","Fri","Sat","Sun"))</f>
        <v/>
      </c>
      <c r="D185" s="23" t="n"/>
      <c r="E185" s="23" t="n"/>
      <c r="F185" s="23" t="n"/>
      <c r="G185" s="24" t="n"/>
      <c r="H185" s="24" t="n"/>
      <c r="I185" s="22">
        <f>IF(H185="","",LEN(H185))</f>
        <v/>
      </c>
      <c r="J185" s="25">
        <f>IF(D185="","",IFERROR(INDEX(PlatformLimits,MATCH(D185,PlatformNames,0)),""))</f>
        <v/>
      </c>
      <c r="K185" s="24" t="n"/>
      <c r="L185" s="23" t="n"/>
      <c r="M185" s="23" t="n"/>
      <c r="N185" s="23" t="n"/>
      <c r="O185" s="24" t="n"/>
      <c r="P185" s="22">
        <f>IF(AND(D185=ExportPlatform,N185="Ready",A185&lt;&gt;""),COUNTIFS($D$7:D185,ExportPlatform,$N$7:N185,"Ready",$A$7:A185,"&lt;&gt;"),"")</f>
        <v/>
      </c>
    </row>
    <row r="186">
      <c r="A186" s="20" t="n"/>
      <c r="B186" s="21" t="n"/>
      <c r="C186" s="22">
        <f>IF(A186="","",CHOOSE(WEEKDAY(A186,2),"Mon","Tue","Wed","Thu","Fri","Sat","Sun"))</f>
        <v/>
      </c>
      <c r="D186" s="23" t="n"/>
      <c r="E186" s="23" t="n"/>
      <c r="F186" s="23" t="n"/>
      <c r="G186" s="24" t="n"/>
      <c r="H186" s="24" t="n"/>
      <c r="I186" s="22">
        <f>IF(H186="","",LEN(H186))</f>
        <v/>
      </c>
      <c r="J186" s="25">
        <f>IF(D186="","",IFERROR(INDEX(PlatformLimits,MATCH(D186,PlatformNames,0)),""))</f>
        <v/>
      </c>
      <c r="K186" s="24" t="n"/>
      <c r="L186" s="23" t="n"/>
      <c r="M186" s="23" t="n"/>
      <c r="N186" s="23" t="n"/>
      <c r="O186" s="24" t="n"/>
      <c r="P186" s="22">
        <f>IF(AND(D186=ExportPlatform,N186="Ready",A186&lt;&gt;""),COUNTIFS($D$7:D186,ExportPlatform,$N$7:N186,"Ready",$A$7:A186,"&lt;&gt;"),"")</f>
        <v/>
      </c>
    </row>
    <row r="187">
      <c r="A187" s="20" t="n"/>
      <c r="B187" s="21" t="n"/>
      <c r="C187" s="22">
        <f>IF(A187="","",CHOOSE(WEEKDAY(A187,2),"Mon","Tue","Wed","Thu","Fri","Sat","Sun"))</f>
        <v/>
      </c>
      <c r="D187" s="23" t="n"/>
      <c r="E187" s="23" t="n"/>
      <c r="F187" s="23" t="n"/>
      <c r="G187" s="24" t="n"/>
      <c r="H187" s="24" t="n"/>
      <c r="I187" s="22">
        <f>IF(H187="","",LEN(H187))</f>
        <v/>
      </c>
      <c r="J187" s="25">
        <f>IF(D187="","",IFERROR(INDEX(PlatformLimits,MATCH(D187,PlatformNames,0)),""))</f>
        <v/>
      </c>
      <c r="K187" s="24" t="n"/>
      <c r="L187" s="23" t="n"/>
      <c r="M187" s="23" t="n"/>
      <c r="N187" s="23" t="n"/>
      <c r="O187" s="24" t="n"/>
      <c r="P187" s="22">
        <f>IF(AND(D187=ExportPlatform,N187="Ready",A187&lt;&gt;""),COUNTIFS($D$7:D187,ExportPlatform,$N$7:N187,"Ready",$A$7:A187,"&lt;&gt;"),"")</f>
        <v/>
      </c>
    </row>
    <row r="188">
      <c r="A188" s="20" t="n"/>
      <c r="B188" s="21" t="n"/>
      <c r="C188" s="22">
        <f>IF(A188="","",CHOOSE(WEEKDAY(A188,2),"Mon","Tue","Wed","Thu","Fri","Sat","Sun"))</f>
        <v/>
      </c>
      <c r="D188" s="23" t="n"/>
      <c r="E188" s="23" t="n"/>
      <c r="F188" s="23" t="n"/>
      <c r="G188" s="24" t="n"/>
      <c r="H188" s="24" t="n"/>
      <c r="I188" s="22">
        <f>IF(H188="","",LEN(H188))</f>
        <v/>
      </c>
      <c r="J188" s="25">
        <f>IF(D188="","",IFERROR(INDEX(PlatformLimits,MATCH(D188,PlatformNames,0)),""))</f>
        <v/>
      </c>
      <c r="K188" s="24" t="n"/>
      <c r="L188" s="23" t="n"/>
      <c r="M188" s="23" t="n"/>
      <c r="N188" s="23" t="n"/>
      <c r="O188" s="24" t="n"/>
      <c r="P188" s="22">
        <f>IF(AND(D188=ExportPlatform,N188="Ready",A188&lt;&gt;""),COUNTIFS($D$7:D188,ExportPlatform,$N$7:N188,"Ready",$A$7:A188,"&lt;&gt;"),"")</f>
        <v/>
      </c>
    </row>
    <row r="189">
      <c r="A189" s="20" t="n"/>
      <c r="B189" s="21" t="n"/>
      <c r="C189" s="22">
        <f>IF(A189="","",CHOOSE(WEEKDAY(A189,2),"Mon","Tue","Wed","Thu","Fri","Sat","Sun"))</f>
        <v/>
      </c>
      <c r="D189" s="23" t="n"/>
      <c r="E189" s="23" t="n"/>
      <c r="F189" s="23" t="n"/>
      <c r="G189" s="24" t="n"/>
      <c r="H189" s="24" t="n"/>
      <c r="I189" s="22">
        <f>IF(H189="","",LEN(H189))</f>
        <v/>
      </c>
      <c r="J189" s="25">
        <f>IF(D189="","",IFERROR(INDEX(PlatformLimits,MATCH(D189,PlatformNames,0)),""))</f>
        <v/>
      </c>
      <c r="K189" s="24" t="n"/>
      <c r="L189" s="23" t="n"/>
      <c r="M189" s="23" t="n"/>
      <c r="N189" s="23" t="n"/>
      <c r="O189" s="24" t="n"/>
      <c r="P189" s="22">
        <f>IF(AND(D189=ExportPlatform,N189="Ready",A189&lt;&gt;""),COUNTIFS($D$7:D189,ExportPlatform,$N$7:N189,"Ready",$A$7:A189,"&lt;&gt;"),"")</f>
        <v/>
      </c>
    </row>
    <row r="190">
      <c r="A190" s="20" t="n"/>
      <c r="B190" s="21" t="n"/>
      <c r="C190" s="22">
        <f>IF(A190="","",CHOOSE(WEEKDAY(A190,2),"Mon","Tue","Wed","Thu","Fri","Sat","Sun"))</f>
        <v/>
      </c>
      <c r="D190" s="23" t="n"/>
      <c r="E190" s="23" t="n"/>
      <c r="F190" s="23" t="n"/>
      <c r="G190" s="24" t="n"/>
      <c r="H190" s="24" t="n"/>
      <c r="I190" s="22">
        <f>IF(H190="","",LEN(H190))</f>
        <v/>
      </c>
      <c r="J190" s="25">
        <f>IF(D190="","",IFERROR(INDEX(PlatformLimits,MATCH(D190,PlatformNames,0)),""))</f>
        <v/>
      </c>
      <c r="K190" s="24" t="n"/>
      <c r="L190" s="23" t="n"/>
      <c r="M190" s="23" t="n"/>
      <c r="N190" s="23" t="n"/>
      <c r="O190" s="24" t="n"/>
      <c r="P190" s="22">
        <f>IF(AND(D190=ExportPlatform,N190="Ready",A190&lt;&gt;""),COUNTIFS($D$7:D190,ExportPlatform,$N$7:N190,"Ready",$A$7:A190,"&lt;&gt;"),"")</f>
        <v/>
      </c>
    </row>
    <row r="191">
      <c r="A191" s="20" t="n"/>
      <c r="B191" s="21" t="n"/>
      <c r="C191" s="22">
        <f>IF(A191="","",CHOOSE(WEEKDAY(A191,2),"Mon","Tue","Wed","Thu","Fri","Sat","Sun"))</f>
        <v/>
      </c>
      <c r="D191" s="23" t="n"/>
      <c r="E191" s="23" t="n"/>
      <c r="F191" s="23" t="n"/>
      <c r="G191" s="24" t="n"/>
      <c r="H191" s="24" t="n"/>
      <c r="I191" s="22">
        <f>IF(H191="","",LEN(H191))</f>
        <v/>
      </c>
      <c r="J191" s="25">
        <f>IF(D191="","",IFERROR(INDEX(PlatformLimits,MATCH(D191,PlatformNames,0)),""))</f>
        <v/>
      </c>
      <c r="K191" s="24" t="n"/>
      <c r="L191" s="23" t="n"/>
      <c r="M191" s="23" t="n"/>
      <c r="N191" s="23" t="n"/>
      <c r="O191" s="24" t="n"/>
      <c r="P191" s="22">
        <f>IF(AND(D191=ExportPlatform,N191="Ready",A191&lt;&gt;""),COUNTIFS($D$7:D191,ExportPlatform,$N$7:N191,"Ready",$A$7:A191,"&lt;&gt;"),"")</f>
        <v/>
      </c>
    </row>
    <row r="192">
      <c r="A192" s="20" t="n"/>
      <c r="B192" s="21" t="n"/>
      <c r="C192" s="22">
        <f>IF(A192="","",CHOOSE(WEEKDAY(A192,2),"Mon","Tue","Wed","Thu","Fri","Sat","Sun"))</f>
        <v/>
      </c>
      <c r="D192" s="23" t="n"/>
      <c r="E192" s="23" t="n"/>
      <c r="F192" s="23" t="n"/>
      <c r="G192" s="24" t="n"/>
      <c r="H192" s="24" t="n"/>
      <c r="I192" s="22">
        <f>IF(H192="","",LEN(H192))</f>
        <v/>
      </c>
      <c r="J192" s="25">
        <f>IF(D192="","",IFERROR(INDEX(PlatformLimits,MATCH(D192,PlatformNames,0)),""))</f>
        <v/>
      </c>
      <c r="K192" s="24" t="n"/>
      <c r="L192" s="23" t="n"/>
      <c r="M192" s="23" t="n"/>
      <c r="N192" s="23" t="n"/>
      <c r="O192" s="24" t="n"/>
      <c r="P192" s="22">
        <f>IF(AND(D192=ExportPlatform,N192="Ready",A192&lt;&gt;""),COUNTIFS($D$7:D192,ExportPlatform,$N$7:N192,"Ready",$A$7:A192,"&lt;&gt;"),"")</f>
        <v/>
      </c>
    </row>
    <row r="193">
      <c r="A193" s="20" t="n"/>
      <c r="B193" s="21" t="n"/>
      <c r="C193" s="22">
        <f>IF(A193="","",CHOOSE(WEEKDAY(A193,2),"Mon","Tue","Wed","Thu","Fri","Sat","Sun"))</f>
        <v/>
      </c>
      <c r="D193" s="23" t="n"/>
      <c r="E193" s="23" t="n"/>
      <c r="F193" s="23" t="n"/>
      <c r="G193" s="24" t="n"/>
      <c r="H193" s="24" t="n"/>
      <c r="I193" s="22">
        <f>IF(H193="","",LEN(H193))</f>
        <v/>
      </c>
      <c r="J193" s="25">
        <f>IF(D193="","",IFERROR(INDEX(PlatformLimits,MATCH(D193,PlatformNames,0)),""))</f>
        <v/>
      </c>
      <c r="K193" s="24" t="n"/>
      <c r="L193" s="23" t="n"/>
      <c r="M193" s="23" t="n"/>
      <c r="N193" s="23" t="n"/>
      <c r="O193" s="24" t="n"/>
      <c r="P193" s="22">
        <f>IF(AND(D193=ExportPlatform,N193="Ready",A193&lt;&gt;""),COUNTIFS($D$7:D193,ExportPlatform,$N$7:N193,"Ready",$A$7:A193,"&lt;&gt;"),"")</f>
        <v/>
      </c>
    </row>
    <row r="194">
      <c r="A194" s="20" t="n"/>
      <c r="B194" s="21" t="n"/>
      <c r="C194" s="22">
        <f>IF(A194="","",CHOOSE(WEEKDAY(A194,2),"Mon","Tue","Wed","Thu","Fri","Sat","Sun"))</f>
        <v/>
      </c>
      <c r="D194" s="23" t="n"/>
      <c r="E194" s="23" t="n"/>
      <c r="F194" s="23" t="n"/>
      <c r="G194" s="24" t="n"/>
      <c r="H194" s="24" t="n"/>
      <c r="I194" s="22">
        <f>IF(H194="","",LEN(H194))</f>
        <v/>
      </c>
      <c r="J194" s="25">
        <f>IF(D194="","",IFERROR(INDEX(PlatformLimits,MATCH(D194,PlatformNames,0)),""))</f>
        <v/>
      </c>
      <c r="K194" s="24" t="n"/>
      <c r="L194" s="23" t="n"/>
      <c r="M194" s="23" t="n"/>
      <c r="N194" s="23" t="n"/>
      <c r="O194" s="24" t="n"/>
      <c r="P194" s="22">
        <f>IF(AND(D194=ExportPlatform,N194="Ready",A194&lt;&gt;""),COUNTIFS($D$7:D194,ExportPlatform,$N$7:N194,"Ready",$A$7:A194,"&lt;&gt;"),"")</f>
        <v/>
      </c>
    </row>
    <row r="195">
      <c r="A195" s="20" t="n"/>
      <c r="B195" s="21" t="n"/>
      <c r="C195" s="22">
        <f>IF(A195="","",CHOOSE(WEEKDAY(A195,2),"Mon","Tue","Wed","Thu","Fri","Sat","Sun"))</f>
        <v/>
      </c>
      <c r="D195" s="23" t="n"/>
      <c r="E195" s="23" t="n"/>
      <c r="F195" s="23" t="n"/>
      <c r="G195" s="24" t="n"/>
      <c r="H195" s="24" t="n"/>
      <c r="I195" s="22">
        <f>IF(H195="","",LEN(H195))</f>
        <v/>
      </c>
      <c r="J195" s="25">
        <f>IF(D195="","",IFERROR(INDEX(PlatformLimits,MATCH(D195,PlatformNames,0)),""))</f>
        <v/>
      </c>
      <c r="K195" s="24" t="n"/>
      <c r="L195" s="23" t="n"/>
      <c r="M195" s="23" t="n"/>
      <c r="N195" s="23" t="n"/>
      <c r="O195" s="24" t="n"/>
      <c r="P195" s="22">
        <f>IF(AND(D195=ExportPlatform,N195="Ready",A195&lt;&gt;""),COUNTIFS($D$7:D195,ExportPlatform,$N$7:N195,"Ready",$A$7:A195,"&lt;&gt;"),"")</f>
        <v/>
      </c>
    </row>
    <row r="196">
      <c r="A196" s="20" t="n"/>
      <c r="B196" s="21" t="n"/>
      <c r="C196" s="22">
        <f>IF(A196="","",CHOOSE(WEEKDAY(A196,2),"Mon","Tue","Wed","Thu","Fri","Sat","Sun"))</f>
        <v/>
      </c>
      <c r="D196" s="23" t="n"/>
      <c r="E196" s="23" t="n"/>
      <c r="F196" s="23" t="n"/>
      <c r="G196" s="24" t="n"/>
      <c r="H196" s="24" t="n"/>
      <c r="I196" s="22">
        <f>IF(H196="","",LEN(H196))</f>
        <v/>
      </c>
      <c r="J196" s="25">
        <f>IF(D196="","",IFERROR(INDEX(PlatformLimits,MATCH(D196,PlatformNames,0)),""))</f>
        <v/>
      </c>
      <c r="K196" s="24" t="n"/>
      <c r="L196" s="23" t="n"/>
      <c r="M196" s="23" t="n"/>
      <c r="N196" s="23" t="n"/>
      <c r="O196" s="24" t="n"/>
      <c r="P196" s="22">
        <f>IF(AND(D196=ExportPlatform,N196="Ready",A196&lt;&gt;""),COUNTIFS($D$7:D196,ExportPlatform,$N$7:N196,"Ready",$A$7:A196,"&lt;&gt;"),"")</f>
        <v/>
      </c>
    </row>
    <row r="197">
      <c r="A197" s="20" t="n"/>
      <c r="B197" s="21" t="n"/>
      <c r="C197" s="22">
        <f>IF(A197="","",CHOOSE(WEEKDAY(A197,2),"Mon","Tue","Wed","Thu","Fri","Sat","Sun"))</f>
        <v/>
      </c>
      <c r="D197" s="23" t="n"/>
      <c r="E197" s="23" t="n"/>
      <c r="F197" s="23" t="n"/>
      <c r="G197" s="24" t="n"/>
      <c r="H197" s="24" t="n"/>
      <c r="I197" s="22">
        <f>IF(H197="","",LEN(H197))</f>
        <v/>
      </c>
      <c r="J197" s="25">
        <f>IF(D197="","",IFERROR(INDEX(PlatformLimits,MATCH(D197,PlatformNames,0)),""))</f>
        <v/>
      </c>
      <c r="K197" s="24" t="n"/>
      <c r="L197" s="23" t="n"/>
      <c r="M197" s="23" t="n"/>
      <c r="N197" s="23" t="n"/>
      <c r="O197" s="24" t="n"/>
      <c r="P197" s="22">
        <f>IF(AND(D197=ExportPlatform,N197="Ready",A197&lt;&gt;""),COUNTIFS($D$7:D197,ExportPlatform,$N$7:N197,"Ready",$A$7:A197,"&lt;&gt;"),"")</f>
        <v/>
      </c>
    </row>
    <row r="198">
      <c r="A198" s="20" t="n"/>
      <c r="B198" s="21" t="n"/>
      <c r="C198" s="22">
        <f>IF(A198="","",CHOOSE(WEEKDAY(A198,2),"Mon","Tue","Wed","Thu","Fri","Sat","Sun"))</f>
        <v/>
      </c>
      <c r="D198" s="23" t="n"/>
      <c r="E198" s="23" t="n"/>
      <c r="F198" s="23" t="n"/>
      <c r="G198" s="24" t="n"/>
      <c r="H198" s="24" t="n"/>
      <c r="I198" s="22">
        <f>IF(H198="","",LEN(H198))</f>
        <v/>
      </c>
      <c r="J198" s="25">
        <f>IF(D198="","",IFERROR(INDEX(PlatformLimits,MATCH(D198,PlatformNames,0)),""))</f>
        <v/>
      </c>
      <c r="K198" s="24" t="n"/>
      <c r="L198" s="23" t="n"/>
      <c r="M198" s="23" t="n"/>
      <c r="N198" s="23" t="n"/>
      <c r="O198" s="24" t="n"/>
      <c r="P198" s="22">
        <f>IF(AND(D198=ExportPlatform,N198="Ready",A198&lt;&gt;""),COUNTIFS($D$7:D198,ExportPlatform,$N$7:N198,"Ready",$A$7:A198,"&lt;&gt;"),"")</f>
        <v/>
      </c>
    </row>
    <row r="199">
      <c r="A199" s="20" t="n"/>
      <c r="B199" s="21" t="n"/>
      <c r="C199" s="22">
        <f>IF(A199="","",CHOOSE(WEEKDAY(A199,2),"Mon","Tue","Wed","Thu","Fri","Sat","Sun"))</f>
        <v/>
      </c>
      <c r="D199" s="23" t="n"/>
      <c r="E199" s="23" t="n"/>
      <c r="F199" s="23" t="n"/>
      <c r="G199" s="24" t="n"/>
      <c r="H199" s="24" t="n"/>
      <c r="I199" s="22">
        <f>IF(H199="","",LEN(H199))</f>
        <v/>
      </c>
      <c r="J199" s="25">
        <f>IF(D199="","",IFERROR(INDEX(PlatformLimits,MATCH(D199,PlatformNames,0)),""))</f>
        <v/>
      </c>
      <c r="K199" s="24" t="n"/>
      <c r="L199" s="23" t="n"/>
      <c r="M199" s="23" t="n"/>
      <c r="N199" s="23" t="n"/>
      <c r="O199" s="24" t="n"/>
      <c r="P199" s="22">
        <f>IF(AND(D199=ExportPlatform,N199="Ready",A199&lt;&gt;""),COUNTIFS($D$7:D199,ExportPlatform,$N$7:N199,"Ready",$A$7:A199,"&lt;&gt;"),"")</f>
        <v/>
      </c>
    </row>
    <row r="200">
      <c r="A200" s="20" t="n"/>
      <c r="B200" s="21" t="n"/>
      <c r="C200" s="22">
        <f>IF(A200="","",CHOOSE(WEEKDAY(A200,2),"Mon","Tue","Wed","Thu","Fri","Sat","Sun"))</f>
        <v/>
      </c>
      <c r="D200" s="23" t="n"/>
      <c r="E200" s="23" t="n"/>
      <c r="F200" s="23" t="n"/>
      <c r="G200" s="24" t="n"/>
      <c r="H200" s="24" t="n"/>
      <c r="I200" s="22">
        <f>IF(H200="","",LEN(H200))</f>
        <v/>
      </c>
      <c r="J200" s="25">
        <f>IF(D200="","",IFERROR(INDEX(PlatformLimits,MATCH(D200,PlatformNames,0)),""))</f>
        <v/>
      </c>
      <c r="K200" s="24" t="n"/>
      <c r="L200" s="23" t="n"/>
      <c r="M200" s="23" t="n"/>
      <c r="N200" s="23" t="n"/>
      <c r="O200" s="24" t="n"/>
      <c r="P200" s="22">
        <f>IF(AND(D200=ExportPlatform,N200="Ready",A200&lt;&gt;""),COUNTIFS($D$7:D200,ExportPlatform,$N$7:N200,"Ready",$A$7:A200,"&lt;&gt;"),"")</f>
        <v/>
      </c>
    </row>
    <row r="201">
      <c r="A201" s="20" t="n"/>
      <c r="B201" s="21" t="n"/>
      <c r="C201" s="22">
        <f>IF(A201="","",CHOOSE(WEEKDAY(A201,2),"Mon","Tue","Wed","Thu","Fri","Sat","Sun"))</f>
        <v/>
      </c>
      <c r="D201" s="23" t="n"/>
      <c r="E201" s="23" t="n"/>
      <c r="F201" s="23" t="n"/>
      <c r="G201" s="24" t="n"/>
      <c r="H201" s="24" t="n"/>
      <c r="I201" s="22">
        <f>IF(H201="","",LEN(H201))</f>
        <v/>
      </c>
      <c r="J201" s="25">
        <f>IF(D201="","",IFERROR(INDEX(PlatformLimits,MATCH(D201,PlatformNames,0)),""))</f>
        <v/>
      </c>
      <c r="K201" s="24" t="n"/>
      <c r="L201" s="23" t="n"/>
      <c r="M201" s="23" t="n"/>
      <c r="N201" s="23" t="n"/>
      <c r="O201" s="24" t="n"/>
      <c r="P201" s="22">
        <f>IF(AND(D201=ExportPlatform,N201="Ready",A201&lt;&gt;""),COUNTIFS($D$7:D201,ExportPlatform,$N$7:N201,"Ready",$A$7:A201,"&lt;&gt;"),"")</f>
        <v/>
      </c>
    </row>
    <row r="202">
      <c r="A202" s="20" t="n"/>
      <c r="B202" s="21" t="n"/>
      <c r="C202" s="22">
        <f>IF(A202="","",CHOOSE(WEEKDAY(A202,2),"Mon","Tue","Wed","Thu","Fri","Sat","Sun"))</f>
        <v/>
      </c>
      <c r="D202" s="23" t="n"/>
      <c r="E202" s="23" t="n"/>
      <c r="F202" s="23" t="n"/>
      <c r="G202" s="24" t="n"/>
      <c r="H202" s="24" t="n"/>
      <c r="I202" s="22">
        <f>IF(H202="","",LEN(H202))</f>
        <v/>
      </c>
      <c r="J202" s="25">
        <f>IF(D202="","",IFERROR(INDEX(PlatformLimits,MATCH(D202,PlatformNames,0)),""))</f>
        <v/>
      </c>
      <c r="K202" s="24" t="n"/>
      <c r="L202" s="23" t="n"/>
      <c r="M202" s="23" t="n"/>
      <c r="N202" s="23" t="n"/>
      <c r="O202" s="24" t="n"/>
      <c r="P202" s="22">
        <f>IF(AND(D202=ExportPlatform,N202="Ready",A202&lt;&gt;""),COUNTIFS($D$7:D202,ExportPlatform,$N$7:N202,"Ready",$A$7:A202,"&lt;&gt;"),"")</f>
        <v/>
      </c>
    </row>
    <row r="203">
      <c r="A203" s="20" t="n"/>
      <c r="B203" s="21" t="n"/>
      <c r="C203" s="22">
        <f>IF(A203="","",CHOOSE(WEEKDAY(A203,2),"Mon","Tue","Wed","Thu","Fri","Sat","Sun"))</f>
        <v/>
      </c>
      <c r="D203" s="23" t="n"/>
      <c r="E203" s="23" t="n"/>
      <c r="F203" s="23" t="n"/>
      <c r="G203" s="24" t="n"/>
      <c r="H203" s="24" t="n"/>
      <c r="I203" s="22">
        <f>IF(H203="","",LEN(H203))</f>
        <v/>
      </c>
      <c r="J203" s="25">
        <f>IF(D203="","",IFERROR(INDEX(PlatformLimits,MATCH(D203,PlatformNames,0)),""))</f>
        <v/>
      </c>
      <c r="K203" s="24" t="n"/>
      <c r="L203" s="23" t="n"/>
      <c r="M203" s="23" t="n"/>
      <c r="N203" s="23" t="n"/>
      <c r="O203" s="24" t="n"/>
      <c r="P203" s="22">
        <f>IF(AND(D203=ExportPlatform,N203="Ready",A203&lt;&gt;""),COUNTIFS($D$7:D203,ExportPlatform,$N$7:N203,"Ready",$A$7:A203,"&lt;&gt;"),"")</f>
        <v/>
      </c>
    </row>
    <row r="204">
      <c r="A204" s="20" t="n"/>
      <c r="B204" s="21" t="n"/>
      <c r="C204" s="22">
        <f>IF(A204="","",CHOOSE(WEEKDAY(A204,2),"Mon","Tue","Wed","Thu","Fri","Sat","Sun"))</f>
        <v/>
      </c>
      <c r="D204" s="23" t="n"/>
      <c r="E204" s="23" t="n"/>
      <c r="F204" s="23" t="n"/>
      <c r="G204" s="24" t="n"/>
      <c r="H204" s="24" t="n"/>
      <c r="I204" s="22">
        <f>IF(H204="","",LEN(H204))</f>
        <v/>
      </c>
      <c r="J204" s="25">
        <f>IF(D204="","",IFERROR(INDEX(PlatformLimits,MATCH(D204,PlatformNames,0)),""))</f>
        <v/>
      </c>
      <c r="K204" s="24" t="n"/>
      <c r="L204" s="23" t="n"/>
      <c r="M204" s="23" t="n"/>
      <c r="N204" s="23" t="n"/>
      <c r="O204" s="24" t="n"/>
      <c r="P204" s="22">
        <f>IF(AND(D204=ExportPlatform,N204="Ready",A204&lt;&gt;""),COUNTIFS($D$7:D204,ExportPlatform,$N$7:N204,"Ready",$A$7:A204,"&lt;&gt;"),"")</f>
        <v/>
      </c>
    </row>
    <row r="205">
      <c r="A205" s="20" t="n"/>
      <c r="B205" s="21" t="n"/>
      <c r="C205" s="22">
        <f>IF(A205="","",CHOOSE(WEEKDAY(A205,2),"Mon","Tue","Wed","Thu","Fri","Sat","Sun"))</f>
        <v/>
      </c>
      <c r="D205" s="23" t="n"/>
      <c r="E205" s="23" t="n"/>
      <c r="F205" s="23" t="n"/>
      <c r="G205" s="24" t="n"/>
      <c r="H205" s="24" t="n"/>
      <c r="I205" s="22">
        <f>IF(H205="","",LEN(H205))</f>
        <v/>
      </c>
      <c r="J205" s="25">
        <f>IF(D205="","",IFERROR(INDEX(PlatformLimits,MATCH(D205,PlatformNames,0)),""))</f>
        <v/>
      </c>
      <c r="K205" s="24" t="n"/>
      <c r="L205" s="23" t="n"/>
      <c r="M205" s="23" t="n"/>
      <c r="N205" s="23" t="n"/>
      <c r="O205" s="24" t="n"/>
      <c r="P205" s="22">
        <f>IF(AND(D205=ExportPlatform,N205="Ready",A205&lt;&gt;""),COUNTIFS($D$7:D205,ExportPlatform,$N$7:N205,"Ready",$A$7:A205,"&lt;&gt;"),"")</f>
        <v/>
      </c>
    </row>
    <row r="206">
      <c r="A206" s="20" t="n"/>
      <c r="B206" s="21" t="n"/>
      <c r="C206" s="22">
        <f>IF(A206="","",CHOOSE(WEEKDAY(A206,2),"Mon","Tue","Wed","Thu","Fri","Sat","Sun"))</f>
        <v/>
      </c>
      <c r="D206" s="23" t="n"/>
      <c r="E206" s="23" t="n"/>
      <c r="F206" s="23" t="n"/>
      <c r="G206" s="24" t="n"/>
      <c r="H206" s="24" t="n"/>
      <c r="I206" s="22">
        <f>IF(H206="","",LEN(H206))</f>
        <v/>
      </c>
      <c r="J206" s="25">
        <f>IF(D206="","",IFERROR(INDEX(PlatformLimits,MATCH(D206,PlatformNames,0)),""))</f>
        <v/>
      </c>
      <c r="K206" s="24" t="n"/>
      <c r="L206" s="23" t="n"/>
      <c r="M206" s="23" t="n"/>
      <c r="N206" s="23" t="n"/>
      <c r="O206" s="24" t="n"/>
      <c r="P206" s="22">
        <f>IF(AND(D206=ExportPlatform,N206="Ready",A206&lt;&gt;""),COUNTIFS($D$7:D206,ExportPlatform,$N$7:N206,"Ready",$A$7:A206,"&lt;&gt;"),"")</f>
        <v/>
      </c>
    </row>
    <row r="207">
      <c r="A207" s="20" t="n"/>
      <c r="B207" s="21" t="n"/>
      <c r="C207" s="22">
        <f>IF(A207="","",CHOOSE(WEEKDAY(A207,2),"Mon","Tue","Wed","Thu","Fri","Sat","Sun"))</f>
        <v/>
      </c>
      <c r="D207" s="23" t="n"/>
      <c r="E207" s="23" t="n"/>
      <c r="F207" s="23" t="n"/>
      <c r="G207" s="24" t="n"/>
      <c r="H207" s="24" t="n"/>
      <c r="I207" s="22">
        <f>IF(H207="","",LEN(H207))</f>
        <v/>
      </c>
      <c r="J207" s="25">
        <f>IF(D207="","",IFERROR(INDEX(PlatformLimits,MATCH(D207,PlatformNames,0)),""))</f>
        <v/>
      </c>
      <c r="K207" s="24" t="n"/>
      <c r="L207" s="23" t="n"/>
      <c r="M207" s="23" t="n"/>
      <c r="N207" s="23" t="n"/>
      <c r="O207" s="24" t="n"/>
      <c r="P207" s="22">
        <f>IF(AND(D207=ExportPlatform,N207="Ready",A207&lt;&gt;""),COUNTIFS($D$7:D207,ExportPlatform,$N$7:N207,"Ready",$A$7:A207,"&lt;&gt;"),"")</f>
        <v/>
      </c>
    </row>
    <row r="208">
      <c r="A208" s="20" t="n"/>
      <c r="B208" s="21" t="n"/>
      <c r="C208" s="22">
        <f>IF(A208="","",CHOOSE(WEEKDAY(A208,2),"Mon","Tue","Wed","Thu","Fri","Sat","Sun"))</f>
        <v/>
      </c>
      <c r="D208" s="23" t="n"/>
      <c r="E208" s="23" t="n"/>
      <c r="F208" s="23" t="n"/>
      <c r="G208" s="24" t="n"/>
      <c r="H208" s="24" t="n"/>
      <c r="I208" s="22">
        <f>IF(H208="","",LEN(H208))</f>
        <v/>
      </c>
      <c r="J208" s="25">
        <f>IF(D208="","",IFERROR(INDEX(PlatformLimits,MATCH(D208,PlatformNames,0)),""))</f>
        <v/>
      </c>
      <c r="K208" s="24" t="n"/>
      <c r="L208" s="23" t="n"/>
      <c r="M208" s="23" t="n"/>
      <c r="N208" s="23" t="n"/>
      <c r="O208" s="24" t="n"/>
      <c r="P208" s="22">
        <f>IF(AND(D208=ExportPlatform,N208="Ready",A208&lt;&gt;""),COUNTIFS($D$7:D208,ExportPlatform,$N$7:N208,"Ready",$A$7:A208,"&lt;&gt;"),"")</f>
        <v/>
      </c>
    </row>
    <row r="209">
      <c r="A209" s="20" t="n"/>
      <c r="B209" s="21" t="n"/>
      <c r="C209" s="22">
        <f>IF(A209="","",CHOOSE(WEEKDAY(A209,2),"Mon","Tue","Wed","Thu","Fri","Sat","Sun"))</f>
        <v/>
      </c>
      <c r="D209" s="23" t="n"/>
      <c r="E209" s="23" t="n"/>
      <c r="F209" s="23" t="n"/>
      <c r="G209" s="24" t="n"/>
      <c r="H209" s="24" t="n"/>
      <c r="I209" s="22">
        <f>IF(H209="","",LEN(H209))</f>
        <v/>
      </c>
      <c r="J209" s="25">
        <f>IF(D209="","",IFERROR(INDEX(PlatformLimits,MATCH(D209,PlatformNames,0)),""))</f>
        <v/>
      </c>
      <c r="K209" s="24" t="n"/>
      <c r="L209" s="23" t="n"/>
      <c r="M209" s="23" t="n"/>
      <c r="N209" s="23" t="n"/>
      <c r="O209" s="24" t="n"/>
      <c r="P209" s="22">
        <f>IF(AND(D209=ExportPlatform,N209="Ready",A209&lt;&gt;""),COUNTIFS($D$7:D209,ExportPlatform,$N$7:N209,"Ready",$A$7:A209,"&lt;&gt;"),"")</f>
        <v/>
      </c>
    </row>
    <row r="210">
      <c r="A210" s="20" t="n"/>
      <c r="B210" s="21" t="n"/>
      <c r="C210" s="22">
        <f>IF(A210="","",CHOOSE(WEEKDAY(A210,2),"Mon","Tue","Wed","Thu","Fri","Sat","Sun"))</f>
        <v/>
      </c>
      <c r="D210" s="23" t="n"/>
      <c r="E210" s="23" t="n"/>
      <c r="F210" s="23" t="n"/>
      <c r="G210" s="24" t="n"/>
      <c r="H210" s="24" t="n"/>
      <c r="I210" s="22">
        <f>IF(H210="","",LEN(H210))</f>
        <v/>
      </c>
      <c r="J210" s="25">
        <f>IF(D210="","",IFERROR(INDEX(PlatformLimits,MATCH(D210,PlatformNames,0)),""))</f>
        <v/>
      </c>
      <c r="K210" s="24" t="n"/>
      <c r="L210" s="23" t="n"/>
      <c r="M210" s="23" t="n"/>
      <c r="N210" s="23" t="n"/>
      <c r="O210" s="24" t="n"/>
      <c r="P210" s="22">
        <f>IF(AND(D210=ExportPlatform,N210="Ready",A210&lt;&gt;""),COUNTIFS($D$7:D210,ExportPlatform,$N$7:N210,"Ready",$A$7:A210,"&lt;&gt;"),"")</f>
        <v/>
      </c>
    </row>
    <row r="211">
      <c r="A211" s="20" t="n"/>
      <c r="B211" s="21" t="n"/>
      <c r="C211" s="22">
        <f>IF(A211="","",CHOOSE(WEEKDAY(A211,2),"Mon","Tue","Wed","Thu","Fri","Sat","Sun"))</f>
        <v/>
      </c>
      <c r="D211" s="23" t="n"/>
      <c r="E211" s="23" t="n"/>
      <c r="F211" s="23" t="n"/>
      <c r="G211" s="24" t="n"/>
      <c r="H211" s="24" t="n"/>
      <c r="I211" s="22">
        <f>IF(H211="","",LEN(H211))</f>
        <v/>
      </c>
      <c r="J211" s="25">
        <f>IF(D211="","",IFERROR(INDEX(PlatformLimits,MATCH(D211,PlatformNames,0)),""))</f>
        <v/>
      </c>
      <c r="K211" s="24" t="n"/>
      <c r="L211" s="23" t="n"/>
      <c r="M211" s="23" t="n"/>
      <c r="N211" s="23" t="n"/>
      <c r="O211" s="24" t="n"/>
      <c r="P211" s="22">
        <f>IF(AND(D211=ExportPlatform,N211="Ready",A211&lt;&gt;""),COUNTIFS($D$7:D211,ExportPlatform,$N$7:N211,"Ready",$A$7:A211,"&lt;&gt;"),"")</f>
        <v/>
      </c>
    </row>
    <row r="212">
      <c r="A212" s="20" t="n"/>
      <c r="B212" s="21" t="n"/>
      <c r="C212" s="22">
        <f>IF(A212="","",CHOOSE(WEEKDAY(A212,2),"Mon","Tue","Wed","Thu","Fri","Sat","Sun"))</f>
        <v/>
      </c>
      <c r="D212" s="23" t="n"/>
      <c r="E212" s="23" t="n"/>
      <c r="F212" s="23" t="n"/>
      <c r="G212" s="24" t="n"/>
      <c r="H212" s="24" t="n"/>
      <c r="I212" s="22">
        <f>IF(H212="","",LEN(H212))</f>
        <v/>
      </c>
      <c r="J212" s="25">
        <f>IF(D212="","",IFERROR(INDEX(PlatformLimits,MATCH(D212,PlatformNames,0)),""))</f>
        <v/>
      </c>
      <c r="K212" s="24" t="n"/>
      <c r="L212" s="23" t="n"/>
      <c r="M212" s="23" t="n"/>
      <c r="N212" s="23" t="n"/>
      <c r="O212" s="24" t="n"/>
      <c r="P212" s="22">
        <f>IF(AND(D212=ExportPlatform,N212="Ready",A212&lt;&gt;""),COUNTIFS($D$7:D212,ExportPlatform,$N$7:N212,"Ready",$A$7:A212,"&lt;&gt;"),"")</f>
        <v/>
      </c>
    </row>
    <row r="213">
      <c r="A213" s="20" t="n"/>
      <c r="B213" s="21" t="n"/>
      <c r="C213" s="22">
        <f>IF(A213="","",CHOOSE(WEEKDAY(A213,2),"Mon","Tue","Wed","Thu","Fri","Sat","Sun"))</f>
        <v/>
      </c>
      <c r="D213" s="23" t="n"/>
      <c r="E213" s="23" t="n"/>
      <c r="F213" s="23" t="n"/>
      <c r="G213" s="24" t="n"/>
      <c r="H213" s="24" t="n"/>
      <c r="I213" s="22">
        <f>IF(H213="","",LEN(H213))</f>
        <v/>
      </c>
      <c r="J213" s="25">
        <f>IF(D213="","",IFERROR(INDEX(PlatformLimits,MATCH(D213,PlatformNames,0)),""))</f>
        <v/>
      </c>
      <c r="K213" s="24" t="n"/>
      <c r="L213" s="23" t="n"/>
      <c r="M213" s="23" t="n"/>
      <c r="N213" s="23" t="n"/>
      <c r="O213" s="24" t="n"/>
      <c r="P213" s="22">
        <f>IF(AND(D213=ExportPlatform,N213="Ready",A213&lt;&gt;""),COUNTIFS($D$7:D213,ExportPlatform,$N$7:N213,"Ready",$A$7:A213,"&lt;&gt;"),"")</f>
        <v/>
      </c>
    </row>
    <row r="214">
      <c r="A214" s="20" t="n"/>
      <c r="B214" s="21" t="n"/>
      <c r="C214" s="22">
        <f>IF(A214="","",CHOOSE(WEEKDAY(A214,2),"Mon","Tue","Wed","Thu","Fri","Sat","Sun"))</f>
        <v/>
      </c>
      <c r="D214" s="23" t="n"/>
      <c r="E214" s="23" t="n"/>
      <c r="F214" s="23" t="n"/>
      <c r="G214" s="24" t="n"/>
      <c r="H214" s="24" t="n"/>
      <c r="I214" s="22">
        <f>IF(H214="","",LEN(H214))</f>
        <v/>
      </c>
      <c r="J214" s="25">
        <f>IF(D214="","",IFERROR(INDEX(PlatformLimits,MATCH(D214,PlatformNames,0)),""))</f>
        <v/>
      </c>
      <c r="K214" s="24" t="n"/>
      <c r="L214" s="23" t="n"/>
      <c r="M214" s="23" t="n"/>
      <c r="N214" s="23" t="n"/>
      <c r="O214" s="24" t="n"/>
      <c r="P214" s="22">
        <f>IF(AND(D214=ExportPlatform,N214="Ready",A214&lt;&gt;""),COUNTIFS($D$7:D214,ExportPlatform,$N$7:N214,"Ready",$A$7:A214,"&lt;&gt;"),"")</f>
        <v/>
      </c>
    </row>
    <row r="215">
      <c r="A215" s="20" t="n"/>
      <c r="B215" s="21" t="n"/>
      <c r="C215" s="22">
        <f>IF(A215="","",CHOOSE(WEEKDAY(A215,2),"Mon","Tue","Wed","Thu","Fri","Sat","Sun"))</f>
        <v/>
      </c>
      <c r="D215" s="23" t="n"/>
      <c r="E215" s="23" t="n"/>
      <c r="F215" s="23" t="n"/>
      <c r="G215" s="24" t="n"/>
      <c r="H215" s="24" t="n"/>
      <c r="I215" s="22">
        <f>IF(H215="","",LEN(H215))</f>
        <v/>
      </c>
      <c r="J215" s="25">
        <f>IF(D215="","",IFERROR(INDEX(PlatformLimits,MATCH(D215,PlatformNames,0)),""))</f>
        <v/>
      </c>
      <c r="K215" s="24" t="n"/>
      <c r="L215" s="23" t="n"/>
      <c r="M215" s="23" t="n"/>
      <c r="N215" s="23" t="n"/>
      <c r="O215" s="24" t="n"/>
      <c r="P215" s="22">
        <f>IF(AND(D215=ExportPlatform,N215="Ready",A215&lt;&gt;""),COUNTIFS($D$7:D215,ExportPlatform,$N$7:N215,"Ready",$A$7:A215,"&lt;&gt;"),"")</f>
        <v/>
      </c>
    </row>
    <row r="216">
      <c r="A216" s="20" t="n"/>
      <c r="B216" s="21" t="n"/>
      <c r="C216" s="22">
        <f>IF(A216="","",CHOOSE(WEEKDAY(A216,2),"Mon","Tue","Wed","Thu","Fri","Sat","Sun"))</f>
        <v/>
      </c>
      <c r="D216" s="23" t="n"/>
      <c r="E216" s="23" t="n"/>
      <c r="F216" s="23" t="n"/>
      <c r="G216" s="24" t="n"/>
      <c r="H216" s="24" t="n"/>
      <c r="I216" s="22">
        <f>IF(H216="","",LEN(H216))</f>
        <v/>
      </c>
      <c r="J216" s="25">
        <f>IF(D216="","",IFERROR(INDEX(PlatformLimits,MATCH(D216,PlatformNames,0)),""))</f>
        <v/>
      </c>
      <c r="K216" s="24" t="n"/>
      <c r="L216" s="23" t="n"/>
      <c r="M216" s="23" t="n"/>
      <c r="N216" s="23" t="n"/>
      <c r="O216" s="24" t="n"/>
      <c r="P216" s="22">
        <f>IF(AND(D216=ExportPlatform,N216="Ready",A216&lt;&gt;""),COUNTIFS($D$7:D216,ExportPlatform,$N$7:N216,"Ready",$A$7:A216,"&lt;&gt;"),"")</f>
        <v/>
      </c>
    </row>
    <row r="217">
      <c r="A217" s="20" t="n"/>
      <c r="B217" s="21" t="n"/>
      <c r="C217" s="22">
        <f>IF(A217="","",CHOOSE(WEEKDAY(A217,2),"Mon","Tue","Wed","Thu","Fri","Sat","Sun"))</f>
        <v/>
      </c>
      <c r="D217" s="23" t="n"/>
      <c r="E217" s="23" t="n"/>
      <c r="F217" s="23" t="n"/>
      <c r="G217" s="24" t="n"/>
      <c r="H217" s="24" t="n"/>
      <c r="I217" s="22">
        <f>IF(H217="","",LEN(H217))</f>
        <v/>
      </c>
      <c r="J217" s="25">
        <f>IF(D217="","",IFERROR(INDEX(PlatformLimits,MATCH(D217,PlatformNames,0)),""))</f>
        <v/>
      </c>
      <c r="K217" s="24" t="n"/>
      <c r="L217" s="23" t="n"/>
      <c r="M217" s="23" t="n"/>
      <c r="N217" s="23" t="n"/>
      <c r="O217" s="24" t="n"/>
      <c r="P217" s="22">
        <f>IF(AND(D217=ExportPlatform,N217="Ready",A217&lt;&gt;""),COUNTIFS($D$7:D217,ExportPlatform,$N$7:N217,"Ready",$A$7:A217,"&lt;&gt;"),"")</f>
        <v/>
      </c>
    </row>
    <row r="218">
      <c r="A218" s="20" t="n"/>
      <c r="B218" s="21" t="n"/>
      <c r="C218" s="22">
        <f>IF(A218="","",CHOOSE(WEEKDAY(A218,2),"Mon","Tue","Wed","Thu","Fri","Sat","Sun"))</f>
        <v/>
      </c>
      <c r="D218" s="23" t="n"/>
      <c r="E218" s="23" t="n"/>
      <c r="F218" s="23" t="n"/>
      <c r="G218" s="24" t="n"/>
      <c r="H218" s="24" t="n"/>
      <c r="I218" s="22">
        <f>IF(H218="","",LEN(H218))</f>
        <v/>
      </c>
      <c r="J218" s="25">
        <f>IF(D218="","",IFERROR(INDEX(PlatformLimits,MATCH(D218,PlatformNames,0)),""))</f>
        <v/>
      </c>
      <c r="K218" s="24" t="n"/>
      <c r="L218" s="23" t="n"/>
      <c r="M218" s="23" t="n"/>
      <c r="N218" s="23" t="n"/>
      <c r="O218" s="24" t="n"/>
      <c r="P218" s="22">
        <f>IF(AND(D218=ExportPlatform,N218="Ready",A218&lt;&gt;""),COUNTIFS($D$7:D218,ExportPlatform,$N$7:N218,"Ready",$A$7:A218,"&lt;&gt;"),"")</f>
        <v/>
      </c>
    </row>
    <row r="219">
      <c r="A219" s="20" t="n"/>
      <c r="B219" s="21" t="n"/>
      <c r="C219" s="22">
        <f>IF(A219="","",CHOOSE(WEEKDAY(A219,2),"Mon","Tue","Wed","Thu","Fri","Sat","Sun"))</f>
        <v/>
      </c>
      <c r="D219" s="23" t="n"/>
      <c r="E219" s="23" t="n"/>
      <c r="F219" s="23" t="n"/>
      <c r="G219" s="24" t="n"/>
      <c r="H219" s="24" t="n"/>
      <c r="I219" s="22">
        <f>IF(H219="","",LEN(H219))</f>
        <v/>
      </c>
      <c r="J219" s="25">
        <f>IF(D219="","",IFERROR(INDEX(PlatformLimits,MATCH(D219,PlatformNames,0)),""))</f>
        <v/>
      </c>
      <c r="K219" s="24" t="n"/>
      <c r="L219" s="23" t="n"/>
      <c r="M219" s="23" t="n"/>
      <c r="N219" s="23" t="n"/>
      <c r="O219" s="24" t="n"/>
      <c r="P219" s="22">
        <f>IF(AND(D219=ExportPlatform,N219="Ready",A219&lt;&gt;""),COUNTIFS($D$7:D219,ExportPlatform,$N$7:N219,"Ready",$A$7:A219,"&lt;&gt;"),"")</f>
        <v/>
      </c>
    </row>
    <row r="220">
      <c r="A220" s="20" t="n"/>
      <c r="B220" s="21" t="n"/>
      <c r="C220" s="22">
        <f>IF(A220="","",CHOOSE(WEEKDAY(A220,2),"Mon","Tue","Wed","Thu","Fri","Sat","Sun"))</f>
        <v/>
      </c>
      <c r="D220" s="23" t="n"/>
      <c r="E220" s="23" t="n"/>
      <c r="F220" s="23" t="n"/>
      <c r="G220" s="24" t="n"/>
      <c r="H220" s="24" t="n"/>
      <c r="I220" s="22">
        <f>IF(H220="","",LEN(H220))</f>
        <v/>
      </c>
      <c r="J220" s="25">
        <f>IF(D220="","",IFERROR(INDEX(PlatformLimits,MATCH(D220,PlatformNames,0)),""))</f>
        <v/>
      </c>
      <c r="K220" s="24" t="n"/>
      <c r="L220" s="23" t="n"/>
      <c r="M220" s="23" t="n"/>
      <c r="N220" s="23" t="n"/>
      <c r="O220" s="24" t="n"/>
      <c r="P220" s="22">
        <f>IF(AND(D220=ExportPlatform,N220="Ready",A220&lt;&gt;""),COUNTIFS($D$7:D220,ExportPlatform,$N$7:N220,"Ready",$A$7:A220,"&lt;&gt;"),"")</f>
        <v/>
      </c>
    </row>
    <row r="221">
      <c r="A221" s="20" t="n"/>
      <c r="B221" s="21" t="n"/>
      <c r="C221" s="22">
        <f>IF(A221="","",CHOOSE(WEEKDAY(A221,2),"Mon","Tue","Wed","Thu","Fri","Sat","Sun"))</f>
        <v/>
      </c>
      <c r="D221" s="23" t="n"/>
      <c r="E221" s="23" t="n"/>
      <c r="F221" s="23" t="n"/>
      <c r="G221" s="24" t="n"/>
      <c r="H221" s="24" t="n"/>
      <c r="I221" s="22">
        <f>IF(H221="","",LEN(H221))</f>
        <v/>
      </c>
      <c r="J221" s="25">
        <f>IF(D221="","",IFERROR(INDEX(PlatformLimits,MATCH(D221,PlatformNames,0)),""))</f>
        <v/>
      </c>
      <c r="K221" s="24" t="n"/>
      <c r="L221" s="23" t="n"/>
      <c r="M221" s="23" t="n"/>
      <c r="N221" s="23" t="n"/>
      <c r="O221" s="24" t="n"/>
      <c r="P221" s="22">
        <f>IF(AND(D221=ExportPlatform,N221="Ready",A221&lt;&gt;""),COUNTIFS($D$7:D221,ExportPlatform,$N$7:N221,"Ready",$A$7:A221,"&lt;&gt;"),"")</f>
        <v/>
      </c>
    </row>
    <row r="222">
      <c r="A222" s="20" t="n"/>
      <c r="B222" s="21" t="n"/>
      <c r="C222" s="22">
        <f>IF(A222="","",CHOOSE(WEEKDAY(A222,2),"Mon","Tue","Wed","Thu","Fri","Sat","Sun"))</f>
        <v/>
      </c>
      <c r="D222" s="23" t="n"/>
      <c r="E222" s="23" t="n"/>
      <c r="F222" s="23" t="n"/>
      <c r="G222" s="24" t="n"/>
      <c r="H222" s="24" t="n"/>
      <c r="I222" s="22">
        <f>IF(H222="","",LEN(H222))</f>
        <v/>
      </c>
      <c r="J222" s="25">
        <f>IF(D222="","",IFERROR(INDEX(PlatformLimits,MATCH(D222,PlatformNames,0)),""))</f>
        <v/>
      </c>
      <c r="K222" s="24" t="n"/>
      <c r="L222" s="23" t="n"/>
      <c r="M222" s="23" t="n"/>
      <c r="N222" s="23" t="n"/>
      <c r="O222" s="24" t="n"/>
      <c r="P222" s="22">
        <f>IF(AND(D222=ExportPlatform,N222="Ready",A222&lt;&gt;""),COUNTIFS($D$7:D222,ExportPlatform,$N$7:N222,"Ready",$A$7:A222,"&lt;&gt;"),"")</f>
        <v/>
      </c>
    </row>
    <row r="223">
      <c r="A223" s="20" t="n"/>
      <c r="B223" s="21" t="n"/>
      <c r="C223" s="22">
        <f>IF(A223="","",CHOOSE(WEEKDAY(A223,2),"Mon","Tue","Wed","Thu","Fri","Sat","Sun"))</f>
        <v/>
      </c>
      <c r="D223" s="23" t="n"/>
      <c r="E223" s="23" t="n"/>
      <c r="F223" s="23" t="n"/>
      <c r="G223" s="24" t="n"/>
      <c r="H223" s="24" t="n"/>
      <c r="I223" s="22">
        <f>IF(H223="","",LEN(H223))</f>
        <v/>
      </c>
      <c r="J223" s="25">
        <f>IF(D223="","",IFERROR(INDEX(PlatformLimits,MATCH(D223,PlatformNames,0)),""))</f>
        <v/>
      </c>
      <c r="K223" s="24" t="n"/>
      <c r="L223" s="23" t="n"/>
      <c r="M223" s="23" t="n"/>
      <c r="N223" s="23" t="n"/>
      <c r="O223" s="24" t="n"/>
      <c r="P223" s="22">
        <f>IF(AND(D223=ExportPlatform,N223="Ready",A223&lt;&gt;""),COUNTIFS($D$7:D223,ExportPlatform,$N$7:N223,"Ready",$A$7:A223,"&lt;&gt;"),"")</f>
        <v/>
      </c>
    </row>
    <row r="224">
      <c r="A224" s="20" t="n"/>
      <c r="B224" s="21" t="n"/>
      <c r="C224" s="22">
        <f>IF(A224="","",CHOOSE(WEEKDAY(A224,2),"Mon","Tue","Wed","Thu","Fri","Sat","Sun"))</f>
        <v/>
      </c>
      <c r="D224" s="23" t="n"/>
      <c r="E224" s="23" t="n"/>
      <c r="F224" s="23" t="n"/>
      <c r="G224" s="24" t="n"/>
      <c r="H224" s="24" t="n"/>
      <c r="I224" s="22">
        <f>IF(H224="","",LEN(H224))</f>
        <v/>
      </c>
      <c r="J224" s="25">
        <f>IF(D224="","",IFERROR(INDEX(PlatformLimits,MATCH(D224,PlatformNames,0)),""))</f>
        <v/>
      </c>
      <c r="K224" s="24" t="n"/>
      <c r="L224" s="23" t="n"/>
      <c r="M224" s="23" t="n"/>
      <c r="N224" s="23" t="n"/>
      <c r="O224" s="24" t="n"/>
      <c r="P224" s="22">
        <f>IF(AND(D224=ExportPlatform,N224="Ready",A224&lt;&gt;""),COUNTIFS($D$7:D224,ExportPlatform,$N$7:N224,"Ready",$A$7:A224,"&lt;&gt;"),"")</f>
        <v/>
      </c>
    </row>
    <row r="225">
      <c r="A225" s="20" t="n"/>
      <c r="B225" s="21" t="n"/>
      <c r="C225" s="22">
        <f>IF(A225="","",CHOOSE(WEEKDAY(A225,2),"Mon","Tue","Wed","Thu","Fri","Sat","Sun"))</f>
        <v/>
      </c>
      <c r="D225" s="23" t="n"/>
      <c r="E225" s="23" t="n"/>
      <c r="F225" s="23" t="n"/>
      <c r="G225" s="24" t="n"/>
      <c r="H225" s="24" t="n"/>
      <c r="I225" s="22">
        <f>IF(H225="","",LEN(H225))</f>
        <v/>
      </c>
      <c r="J225" s="25">
        <f>IF(D225="","",IFERROR(INDEX(PlatformLimits,MATCH(D225,PlatformNames,0)),""))</f>
        <v/>
      </c>
      <c r="K225" s="24" t="n"/>
      <c r="L225" s="23" t="n"/>
      <c r="M225" s="23" t="n"/>
      <c r="N225" s="23" t="n"/>
      <c r="O225" s="24" t="n"/>
      <c r="P225" s="22">
        <f>IF(AND(D225=ExportPlatform,N225="Ready",A225&lt;&gt;""),COUNTIFS($D$7:D225,ExportPlatform,$N$7:N225,"Ready",$A$7:A225,"&lt;&gt;"),"")</f>
        <v/>
      </c>
    </row>
    <row r="226">
      <c r="A226" s="20" t="n"/>
      <c r="B226" s="21" t="n"/>
      <c r="C226" s="22">
        <f>IF(A226="","",CHOOSE(WEEKDAY(A226,2),"Mon","Tue","Wed","Thu","Fri","Sat","Sun"))</f>
        <v/>
      </c>
      <c r="D226" s="23" t="n"/>
      <c r="E226" s="23" t="n"/>
      <c r="F226" s="23" t="n"/>
      <c r="G226" s="24" t="n"/>
      <c r="H226" s="24" t="n"/>
      <c r="I226" s="22">
        <f>IF(H226="","",LEN(H226))</f>
        <v/>
      </c>
      <c r="J226" s="25">
        <f>IF(D226="","",IFERROR(INDEX(PlatformLimits,MATCH(D226,PlatformNames,0)),""))</f>
        <v/>
      </c>
      <c r="K226" s="24" t="n"/>
      <c r="L226" s="23" t="n"/>
      <c r="M226" s="23" t="n"/>
      <c r="N226" s="23" t="n"/>
      <c r="O226" s="24" t="n"/>
      <c r="P226" s="22">
        <f>IF(AND(D226=ExportPlatform,N226="Ready",A226&lt;&gt;""),COUNTIFS($D$7:D226,ExportPlatform,$N$7:N226,"Ready",$A$7:A226,"&lt;&gt;"),"")</f>
        <v/>
      </c>
    </row>
    <row r="227">
      <c r="A227" s="20" t="n"/>
      <c r="B227" s="21" t="n"/>
      <c r="C227" s="22">
        <f>IF(A227="","",CHOOSE(WEEKDAY(A227,2),"Mon","Tue","Wed","Thu","Fri","Sat","Sun"))</f>
        <v/>
      </c>
      <c r="D227" s="23" t="n"/>
      <c r="E227" s="23" t="n"/>
      <c r="F227" s="23" t="n"/>
      <c r="G227" s="24" t="n"/>
      <c r="H227" s="24" t="n"/>
      <c r="I227" s="22">
        <f>IF(H227="","",LEN(H227))</f>
        <v/>
      </c>
      <c r="J227" s="25">
        <f>IF(D227="","",IFERROR(INDEX(PlatformLimits,MATCH(D227,PlatformNames,0)),""))</f>
        <v/>
      </c>
      <c r="K227" s="24" t="n"/>
      <c r="L227" s="23" t="n"/>
      <c r="M227" s="23" t="n"/>
      <c r="N227" s="23" t="n"/>
      <c r="O227" s="24" t="n"/>
      <c r="P227" s="22">
        <f>IF(AND(D227=ExportPlatform,N227="Ready",A227&lt;&gt;""),COUNTIFS($D$7:D227,ExportPlatform,$N$7:N227,"Ready",$A$7:A227,"&lt;&gt;"),"")</f>
        <v/>
      </c>
    </row>
    <row r="228">
      <c r="A228" s="20" t="n"/>
      <c r="B228" s="21" t="n"/>
      <c r="C228" s="22">
        <f>IF(A228="","",CHOOSE(WEEKDAY(A228,2),"Mon","Tue","Wed","Thu","Fri","Sat","Sun"))</f>
        <v/>
      </c>
      <c r="D228" s="23" t="n"/>
      <c r="E228" s="23" t="n"/>
      <c r="F228" s="23" t="n"/>
      <c r="G228" s="24" t="n"/>
      <c r="H228" s="24" t="n"/>
      <c r="I228" s="22">
        <f>IF(H228="","",LEN(H228))</f>
        <v/>
      </c>
      <c r="J228" s="25">
        <f>IF(D228="","",IFERROR(INDEX(PlatformLimits,MATCH(D228,PlatformNames,0)),""))</f>
        <v/>
      </c>
      <c r="K228" s="24" t="n"/>
      <c r="L228" s="23" t="n"/>
      <c r="M228" s="23" t="n"/>
      <c r="N228" s="23" t="n"/>
      <c r="O228" s="24" t="n"/>
      <c r="P228" s="22">
        <f>IF(AND(D228=ExportPlatform,N228="Ready",A228&lt;&gt;""),COUNTIFS($D$7:D228,ExportPlatform,$N$7:N228,"Ready",$A$7:A228,"&lt;&gt;"),"")</f>
        <v/>
      </c>
    </row>
    <row r="229">
      <c r="A229" s="20" t="n"/>
      <c r="B229" s="21" t="n"/>
      <c r="C229" s="22">
        <f>IF(A229="","",CHOOSE(WEEKDAY(A229,2),"Mon","Tue","Wed","Thu","Fri","Sat","Sun"))</f>
        <v/>
      </c>
      <c r="D229" s="23" t="n"/>
      <c r="E229" s="23" t="n"/>
      <c r="F229" s="23" t="n"/>
      <c r="G229" s="24" t="n"/>
      <c r="H229" s="24" t="n"/>
      <c r="I229" s="22">
        <f>IF(H229="","",LEN(H229))</f>
        <v/>
      </c>
      <c r="J229" s="25">
        <f>IF(D229="","",IFERROR(INDEX(PlatformLimits,MATCH(D229,PlatformNames,0)),""))</f>
        <v/>
      </c>
      <c r="K229" s="24" t="n"/>
      <c r="L229" s="23" t="n"/>
      <c r="M229" s="23" t="n"/>
      <c r="N229" s="23" t="n"/>
      <c r="O229" s="24" t="n"/>
      <c r="P229" s="22">
        <f>IF(AND(D229=ExportPlatform,N229="Ready",A229&lt;&gt;""),COUNTIFS($D$7:D229,ExportPlatform,$N$7:N229,"Ready",$A$7:A229,"&lt;&gt;"),"")</f>
        <v/>
      </c>
    </row>
    <row r="230">
      <c r="A230" s="20" t="n"/>
      <c r="B230" s="21" t="n"/>
      <c r="C230" s="22">
        <f>IF(A230="","",CHOOSE(WEEKDAY(A230,2),"Mon","Tue","Wed","Thu","Fri","Sat","Sun"))</f>
        <v/>
      </c>
      <c r="D230" s="23" t="n"/>
      <c r="E230" s="23" t="n"/>
      <c r="F230" s="23" t="n"/>
      <c r="G230" s="24" t="n"/>
      <c r="H230" s="24" t="n"/>
      <c r="I230" s="22">
        <f>IF(H230="","",LEN(H230))</f>
        <v/>
      </c>
      <c r="J230" s="25">
        <f>IF(D230="","",IFERROR(INDEX(PlatformLimits,MATCH(D230,PlatformNames,0)),""))</f>
        <v/>
      </c>
      <c r="K230" s="24" t="n"/>
      <c r="L230" s="23" t="n"/>
      <c r="M230" s="23" t="n"/>
      <c r="N230" s="23" t="n"/>
      <c r="O230" s="24" t="n"/>
      <c r="P230" s="22">
        <f>IF(AND(D230=ExportPlatform,N230="Ready",A230&lt;&gt;""),COUNTIFS($D$7:D230,ExportPlatform,$N$7:N230,"Ready",$A$7:A230,"&lt;&gt;"),"")</f>
        <v/>
      </c>
    </row>
    <row r="231">
      <c r="A231" s="20" t="n"/>
      <c r="B231" s="21" t="n"/>
      <c r="C231" s="22">
        <f>IF(A231="","",CHOOSE(WEEKDAY(A231,2),"Mon","Tue","Wed","Thu","Fri","Sat","Sun"))</f>
        <v/>
      </c>
      <c r="D231" s="23" t="n"/>
      <c r="E231" s="23" t="n"/>
      <c r="F231" s="23" t="n"/>
      <c r="G231" s="24" t="n"/>
      <c r="H231" s="24" t="n"/>
      <c r="I231" s="22">
        <f>IF(H231="","",LEN(H231))</f>
        <v/>
      </c>
      <c r="J231" s="25">
        <f>IF(D231="","",IFERROR(INDEX(PlatformLimits,MATCH(D231,PlatformNames,0)),""))</f>
        <v/>
      </c>
      <c r="K231" s="24" t="n"/>
      <c r="L231" s="23" t="n"/>
      <c r="M231" s="23" t="n"/>
      <c r="N231" s="23" t="n"/>
      <c r="O231" s="24" t="n"/>
      <c r="P231" s="22">
        <f>IF(AND(D231=ExportPlatform,N231="Ready",A231&lt;&gt;""),COUNTIFS($D$7:D231,ExportPlatform,$N$7:N231,"Ready",$A$7:A231,"&lt;&gt;"),"")</f>
        <v/>
      </c>
    </row>
    <row r="232">
      <c r="A232" s="20" t="n"/>
      <c r="B232" s="21" t="n"/>
      <c r="C232" s="22">
        <f>IF(A232="","",CHOOSE(WEEKDAY(A232,2),"Mon","Tue","Wed","Thu","Fri","Sat","Sun"))</f>
        <v/>
      </c>
      <c r="D232" s="23" t="n"/>
      <c r="E232" s="23" t="n"/>
      <c r="F232" s="23" t="n"/>
      <c r="G232" s="24" t="n"/>
      <c r="H232" s="24" t="n"/>
      <c r="I232" s="22">
        <f>IF(H232="","",LEN(H232))</f>
        <v/>
      </c>
      <c r="J232" s="25">
        <f>IF(D232="","",IFERROR(INDEX(PlatformLimits,MATCH(D232,PlatformNames,0)),""))</f>
        <v/>
      </c>
      <c r="K232" s="24" t="n"/>
      <c r="L232" s="23" t="n"/>
      <c r="M232" s="23" t="n"/>
      <c r="N232" s="23" t="n"/>
      <c r="O232" s="24" t="n"/>
      <c r="P232" s="22">
        <f>IF(AND(D232=ExportPlatform,N232="Ready",A232&lt;&gt;""),COUNTIFS($D$7:D232,ExportPlatform,$N$7:N232,"Ready",$A$7:A232,"&lt;&gt;"),"")</f>
        <v/>
      </c>
    </row>
    <row r="233">
      <c r="A233" s="20" t="n"/>
      <c r="B233" s="21" t="n"/>
      <c r="C233" s="22">
        <f>IF(A233="","",CHOOSE(WEEKDAY(A233,2),"Mon","Tue","Wed","Thu","Fri","Sat","Sun"))</f>
        <v/>
      </c>
      <c r="D233" s="23" t="n"/>
      <c r="E233" s="23" t="n"/>
      <c r="F233" s="23" t="n"/>
      <c r="G233" s="24" t="n"/>
      <c r="H233" s="24" t="n"/>
      <c r="I233" s="22">
        <f>IF(H233="","",LEN(H233))</f>
        <v/>
      </c>
      <c r="J233" s="25">
        <f>IF(D233="","",IFERROR(INDEX(PlatformLimits,MATCH(D233,PlatformNames,0)),""))</f>
        <v/>
      </c>
      <c r="K233" s="24" t="n"/>
      <c r="L233" s="23" t="n"/>
      <c r="M233" s="23" t="n"/>
      <c r="N233" s="23" t="n"/>
      <c r="O233" s="24" t="n"/>
      <c r="P233" s="22">
        <f>IF(AND(D233=ExportPlatform,N233="Ready",A233&lt;&gt;""),COUNTIFS($D$7:D233,ExportPlatform,$N$7:N233,"Ready",$A$7:A233,"&lt;&gt;"),"")</f>
        <v/>
      </c>
    </row>
    <row r="234">
      <c r="A234" s="20" t="n"/>
      <c r="B234" s="21" t="n"/>
      <c r="C234" s="22">
        <f>IF(A234="","",CHOOSE(WEEKDAY(A234,2),"Mon","Tue","Wed","Thu","Fri","Sat","Sun"))</f>
        <v/>
      </c>
      <c r="D234" s="23" t="n"/>
      <c r="E234" s="23" t="n"/>
      <c r="F234" s="23" t="n"/>
      <c r="G234" s="24" t="n"/>
      <c r="H234" s="24" t="n"/>
      <c r="I234" s="22">
        <f>IF(H234="","",LEN(H234))</f>
        <v/>
      </c>
      <c r="J234" s="25">
        <f>IF(D234="","",IFERROR(INDEX(PlatformLimits,MATCH(D234,PlatformNames,0)),""))</f>
        <v/>
      </c>
      <c r="K234" s="24" t="n"/>
      <c r="L234" s="23" t="n"/>
      <c r="M234" s="23" t="n"/>
      <c r="N234" s="23" t="n"/>
      <c r="O234" s="24" t="n"/>
      <c r="P234" s="22">
        <f>IF(AND(D234=ExportPlatform,N234="Ready",A234&lt;&gt;""),COUNTIFS($D$7:D234,ExportPlatform,$N$7:N234,"Ready",$A$7:A234,"&lt;&gt;"),"")</f>
        <v/>
      </c>
    </row>
    <row r="235">
      <c r="A235" s="20" t="n"/>
      <c r="B235" s="21" t="n"/>
      <c r="C235" s="22">
        <f>IF(A235="","",CHOOSE(WEEKDAY(A235,2),"Mon","Tue","Wed","Thu","Fri","Sat","Sun"))</f>
        <v/>
      </c>
      <c r="D235" s="23" t="n"/>
      <c r="E235" s="23" t="n"/>
      <c r="F235" s="23" t="n"/>
      <c r="G235" s="24" t="n"/>
      <c r="H235" s="24" t="n"/>
      <c r="I235" s="22">
        <f>IF(H235="","",LEN(H235))</f>
        <v/>
      </c>
      <c r="J235" s="25">
        <f>IF(D235="","",IFERROR(INDEX(PlatformLimits,MATCH(D235,PlatformNames,0)),""))</f>
        <v/>
      </c>
      <c r="K235" s="24" t="n"/>
      <c r="L235" s="23" t="n"/>
      <c r="M235" s="23" t="n"/>
      <c r="N235" s="23" t="n"/>
      <c r="O235" s="24" t="n"/>
      <c r="P235" s="22">
        <f>IF(AND(D235=ExportPlatform,N235="Ready",A235&lt;&gt;""),COUNTIFS($D$7:D235,ExportPlatform,$N$7:N235,"Ready",$A$7:A235,"&lt;&gt;"),"")</f>
        <v/>
      </c>
    </row>
    <row r="236">
      <c r="A236" s="20" t="n"/>
      <c r="B236" s="21" t="n"/>
      <c r="C236" s="22">
        <f>IF(A236="","",CHOOSE(WEEKDAY(A236,2),"Mon","Tue","Wed","Thu","Fri","Sat","Sun"))</f>
        <v/>
      </c>
      <c r="D236" s="23" t="n"/>
      <c r="E236" s="23" t="n"/>
      <c r="F236" s="23" t="n"/>
      <c r="G236" s="24" t="n"/>
      <c r="H236" s="24" t="n"/>
      <c r="I236" s="22">
        <f>IF(H236="","",LEN(H236))</f>
        <v/>
      </c>
      <c r="J236" s="25">
        <f>IF(D236="","",IFERROR(INDEX(PlatformLimits,MATCH(D236,PlatformNames,0)),""))</f>
        <v/>
      </c>
      <c r="K236" s="24" t="n"/>
      <c r="L236" s="23" t="n"/>
      <c r="M236" s="23" t="n"/>
      <c r="N236" s="23" t="n"/>
      <c r="O236" s="24" t="n"/>
      <c r="P236" s="22">
        <f>IF(AND(D236=ExportPlatform,N236="Ready",A236&lt;&gt;""),COUNTIFS($D$7:D236,ExportPlatform,$N$7:N236,"Ready",$A$7:A236,"&lt;&gt;"),"")</f>
        <v/>
      </c>
    </row>
    <row r="237">
      <c r="A237" s="20" t="n"/>
      <c r="B237" s="21" t="n"/>
      <c r="C237" s="22">
        <f>IF(A237="","",CHOOSE(WEEKDAY(A237,2),"Mon","Tue","Wed","Thu","Fri","Sat","Sun"))</f>
        <v/>
      </c>
      <c r="D237" s="23" t="n"/>
      <c r="E237" s="23" t="n"/>
      <c r="F237" s="23" t="n"/>
      <c r="G237" s="24" t="n"/>
      <c r="H237" s="24" t="n"/>
      <c r="I237" s="22">
        <f>IF(H237="","",LEN(H237))</f>
        <v/>
      </c>
      <c r="J237" s="25">
        <f>IF(D237="","",IFERROR(INDEX(PlatformLimits,MATCH(D237,PlatformNames,0)),""))</f>
        <v/>
      </c>
      <c r="K237" s="24" t="n"/>
      <c r="L237" s="23" t="n"/>
      <c r="M237" s="23" t="n"/>
      <c r="N237" s="23" t="n"/>
      <c r="O237" s="24" t="n"/>
      <c r="P237" s="22">
        <f>IF(AND(D237=ExportPlatform,N237="Ready",A237&lt;&gt;""),COUNTIFS($D$7:D237,ExportPlatform,$N$7:N237,"Ready",$A$7:A237,"&lt;&gt;"),"")</f>
        <v/>
      </c>
    </row>
    <row r="238">
      <c r="A238" s="20" t="n"/>
      <c r="B238" s="21" t="n"/>
      <c r="C238" s="22">
        <f>IF(A238="","",CHOOSE(WEEKDAY(A238,2),"Mon","Tue","Wed","Thu","Fri","Sat","Sun"))</f>
        <v/>
      </c>
      <c r="D238" s="23" t="n"/>
      <c r="E238" s="23" t="n"/>
      <c r="F238" s="23" t="n"/>
      <c r="G238" s="24" t="n"/>
      <c r="H238" s="24" t="n"/>
      <c r="I238" s="22">
        <f>IF(H238="","",LEN(H238))</f>
        <v/>
      </c>
      <c r="J238" s="25">
        <f>IF(D238="","",IFERROR(INDEX(PlatformLimits,MATCH(D238,PlatformNames,0)),""))</f>
        <v/>
      </c>
      <c r="K238" s="24" t="n"/>
      <c r="L238" s="23" t="n"/>
      <c r="M238" s="23" t="n"/>
      <c r="N238" s="23" t="n"/>
      <c r="O238" s="24" t="n"/>
      <c r="P238" s="22">
        <f>IF(AND(D238=ExportPlatform,N238="Ready",A238&lt;&gt;""),COUNTIFS($D$7:D238,ExportPlatform,$N$7:N238,"Ready",$A$7:A238,"&lt;&gt;"),"")</f>
        <v/>
      </c>
    </row>
    <row r="239">
      <c r="A239" s="20" t="n"/>
      <c r="B239" s="21" t="n"/>
      <c r="C239" s="22">
        <f>IF(A239="","",CHOOSE(WEEKDAY(A239,2),"Mon","Tue","Wed","Thu","Fri","Sat","Sun"))</f>
        <v/>
      </c>
      <c r="D239" s="23" t="n"/>
      <c r="E239" s="23" t="n"/>
      <c r="F239" s="23" t="n"/>
      <c r="G239" s="24" t="n"/>
      <c r="H239" s="24" t="n"/>
      <c r="I239" s="22">
        <f>IF(H239="","",LEN(H239))</f>
        <v/>
      </c>
      <c r="J239" s="25">
        <f>IF(D239="","",IFERROR(INDEX(PlatformLimits,MATCH(D239,PlatformNames,0)),""))</f>
        <v/>
      </c>
      <c r="K239" s="24" t="n"/>
      <c r="L239" s="23" t="n"/>
      <c r="M239" s="23" t="n"/>
      <c r="N239" s="23" t="n"/>
      <c r="O239" s="24" t="n"/>
      <c r="P239" s="22">
        <f>IF(AND(D239=ExportPlatform,N239="Ready",A239&lt;&gt;""),COUNTIFS($D$7:D239,ExportPlatform,$N$7:N239,"Ready",$A$7:A239,"&lt;&gt;"),"")</f>
        <v/>
      </c>
    </row>
    <row r="240">
      <c r="A240" s="20" t="n"/>
      <c r="B240" s="21" t="n"/>
      <c r="C240" s="22">
        <f>IF(A240="","",CHOOSE(WEEKDAY(A240,2),"Mon","Tue","Wed","Thu","Fri","Sat","Sun"))</f>
        <v/>
      </c>
      <c r="D240" s="23" t="n"/>
      <c r="E240" s="23" t="n"/>
      <c r="F240" s="23" t="n"/>
      <c r="G240" s="24" t="n"/>
      <c r="H240" s="24" t="n"/>
      <c r="I240" s="22">
        <f>IF(H240="","",LEN(H240))</f>
        <v/>
      </c>
      <c r="J240" s="25">
        <f>IF(D240="","",IFERROR(INDEX(PlatformLimits,MATCH(D240,PlatformNames,0)),""))</f>
        <v/>
      </c>
      <c r="K240" s="24" t="n"/>
      <c r="L240" s="23" t="n"/>
      <c r="M240" s="23" t="n"/>
      <c r="N240" s="23" t="n"/>
      <c r="O240" s="24" t="n"/>
      <c r="P240" s="22">
        <f>IF(AND(D240=ExportPlatform,N240="Ready",A240&lt;&gt;""),COUNTIFS($D$7:D240,ExportPlatform,$N$7:N240,"Ready",$A$7:A240,"&lt;&gt;"),"")</f>
        <v/>
      </c>
    </row>
    <row r="241">
      <c r="A241" s="20" t="n"/>
      <c r="B241" s="21" t="n"/>
      <c r="C241" s="22">
        <f>IF(A241="","",CHOOSE(WEEKDAY(A241,2),"Mon","Tue","Wed","Thu","Fri","Sat","Sun"))</f>
        <v/>
      </c>
      <c r="D241" s="23" t="n"/>
      <c r="E241" s="23" t="n"/>
      <c r="F241" s="23" t="n"/>
      <c r="G241" s="24" t="n"/>
      <c r="H241" s="24" t="n"/>
      <c r="I241" s="22">
        <f>IF(H241="","",LEN(H241))</f>
        <v/>
      </c>
      <c r="J241" s="25">
        <f>IF(D241="","",IFERROR(INDEX(PlatformLimits,MATCH(D241,PlatformNames,0)),""))</f>
        <v/>
      </c>
      <c r="K241" s="24" t="n"/>
      <c r="L241" s="23" t="n"/>
      <c r="M241" s="23" t="n"/>
      <c r="N241" s="23" t="n"/>
      <c r="O241" s="24" t="n"/>
      <c r="P241" s="22">
        <f>IF(AND(D241=ExportPlatform,N241="Ready",A241&lt;&gt;""),COUNTIFS($D$7:D241,ExportPlatform,$N$7:N241,"Ready",$A$7:A241,"&lt;&gt;"),"")</f>
        <v/>
      </c>
    </row>
    <row r="242">
      <c r="A242" s="20" t="n"/>
      <c r="B242" s="21" t="n"/>
      <c r="C242" s="22">
        <f>IF(A242="","",CHOOSE(WEEKDAY(A242,2),"Mon","Tue","Wed","Thu","Fri","Sat","Sun"))</f>
        <v/>
      </c>
      <c r="D242" s="23" t="n"/>
      <c r="E242" s="23" t="n"/>
      <c r="F242" s="23" t="n"/>
      <c r="G242" s="24" t="n"/>
      <c r="H242" s="24" t="n"/>
      <c r="I242" s="22">
        <f>IF(H242="","",LEN(H242))</f>
        <v/>
      </c>
      <c r="J242" s="25">
        <f>IF(D242="","",IFERROR(INDEX(PlatformLimits,MATCH(D242,PlatformNames,0)),""))</f>
        <v/>
      </c>
      <c r="K242" s="24" t="n"/>
      <c r="L242" s="23" t="n"/>
      <c r="M242" s="23" t="n"/>
      <c r="N242" s="23" t="n"/>
      <c r="O242" s="24" t="n"/>
      <c r="P242" s="22">
        <f>IF(AND(D242=ExportPlatform,N242="Ready",A242&lt;&gt;""),COUNTIFS($D$7:D242,ExportPlatform,$N$7:N242,"Ready",$A$7:A242,"&lt;&gt;"),"")</f>
        <v/>
      </c>
    </row>
    <row r="243">
      <c r="A243" s="20" t="n"/>
      <c r="B243" s="21" t="n"/>
      <c r="C243" s="22">
        <f>IF(A243="","",CHOOSE(WEEKDAY(A243,2),"Mon","Tue","Wed","Thu","Fri","Sat","Sun"))</f>
        <v/>
      </c>
      <c r="D243" s="23" t="n"/>
      <c r="E243" s="23" t="n"/>
      <c r="F243" s="23" t="n"/>
      <c r="G243" s="24" t="n"/>
      <c r="H243" s="24" t="n"/>
      <c r="I243" s="22">
        <f>IF(H243="","",LEN(H243))</f>
        <v/>
      </c>
      <c r="J243" s="25">
        <f>IF(D243="","",IFERROR(INDEX(PlatformLimits,MATCH(D243,PlatformNames,0)),""))</f>
        <v/>
      </c>
      <c r="K243" s="24" t="n"/>
      <c r="L243" s="23" t="n"/>
      <c r="M243" s="23" t="n"/>
      <c r="N243" s="23" t="n"/>
      <c r="O243" s="24" t="n"/>
      <c r="P243" s="22">
        <f>IF(AND(D243=ExportPlatform,N243="Ready",A243&lt;&gt;""),COUNTIFS($D$7:D243,ExportPlatform,$N$7:N243,"Ready",$A$7:A243,"&lt;&gt;"),"")</f>
        <v/>
      </c>
    </row>
    <row r="244">
      <c r="A244" s="20" t="n"/>
      <c r="B244" s="21" t="n"/>
      <c r="C244" s="22">
        <f>IF(A244="","",CHOOSE(WEEKDAY(A244,2),"Mon","Tue","Wed","Thu","Fri","Sat","Sun"))</f>
        <v/>
      </c>
      <c r="D244" s="23" t="n"/>
      <c r="E244" s="23" t="n"/>
      <c r="F244" s="23" t="n"/>
      <c r="G244" s="24" t="n"/>
      <c r="H244" s="24" t="n"/>
      <c r="I244" s="22">
        <f>IF(H244="","",LEN(H244))</f>
        <v/>
      </c>
      <c r="J244" s="25">
        <f>IF(D244="","",IFERROR(INDEX(PlatformLimits,MATCH(D244,PlatformNames,0)),""))</f>
        <v/>
      </c>
      <c r="K244" s="24" t="n"/>
      <c r="L244" s="23" t="n"/>
      <c r="M244" s="23" t="n"/>
      <c r="N244" s="23" t="n"/>
      <c r="O244" s="24" t="n"/>
      <c r="P244" s="22">
        <f>IF(AND(D244=ExportPlatform,N244="Ready",A244&lt;&gt;""),COUNTIFS($D$7:D244,ExportPlatform,$N$7:N244,"Ready",$A$7:A244,"&lt;&gt;"),"")</f>
        <v/>
      </c>
    </row>
    <row r="245">
      <c r="A245" s="20" t="n"/>
      <c r="B245" s="21" t="n"/>
      <c r="C245" s="22">
        <f>IF(A245="","",CHOOSE(WEEKDAY(A245,2),"Mon","Tue","Wed","Thu","Fri","Sat","Sun"))</f>
        <v/>
      </c>
      <c r="D245" s="23" t="n"/>
      <c r="E245" s="23" t="n"/>
      <c r="F245" s="23" t="n"/>
      <c r="G245" s="24" t="n"/>
      <c r="H245" s="24" t="n"/>
      <c r="I245" s="22">
        <f>IF(H245="","",LEN(H245))</f>
        <v/>
      </c>
      <c r="J245" s="25">
        <f>IF(D245="","",IFERROR(INDEX(PlatformLimits,MATCH(D245,PlatformNames,0)),""))</f>
        <v/>
      </c>
      <c r="K245" s="24" t="n"/>
      <c r="L245" s="23" t="n"/>
      <c r="M245" s="23" t="n"/>
      <c r="N245" s="23" t="n"/>
      <c r="O245" s="24" t="n"/>
      <c r="P245" s="22">
        <f>IF(AND(D245=ExportPlatform,N245="Ready",A245&lt;&gt;""),COUNTIFS($D$7:D245,ExportPlatform,$N$7:N245,"Ready",$A$7:A245,"&lt;&gt;"),"")</f>
        <v/>
      </c>
    </row>
    <row r="246">
      <c r="A246" s="20" t="n"/>
      <c r="B246" s="21" t="n"/>
      <c r="C246" s="22">
        <f>IF(A246="","",CHOOSE(WEEKDAY(A246,2),"Mon","Tue","Wed","Thu","Fri","Sat","Sun"))</f>
        <v/>
      </c>
      <c r="D246" s="23" t="n"/>
      <c r="E246" s="23" t="n"/>
      <c r="F246" s="23" t="n"/>
      <c r="G246" s="24" t="n"/>
      <c r="H246" s="24" t="n"/>
      <c r="I246" s="22">
        <f>IF(H246="","",LEN(H246))</f>
        <v/>
      </c>
      <c r="J246" s="25">
        <f>IF(D246="","",IFERROR(INDEX(PlatformLimits,MATCH(D246,PlatformNames,0)),""))</f>
        <v/>
      </c>
      <c r="K246" s="24" t="n"/>
      <c r="L246" s="23" t="n"/>
      <c r="M246" s="23" t="n"/>
      <c r="N246" s="23" t="n"/>
      <c r="O246" s="24" t="n"/>
      <c r="P246" s="22">
        <f>IF(AND(D246=ExportPlatform,N246="Ready",A246&lt;&gt;""),COUNTIFS($D$7:D246,ExportPlatform,$N$7:N246,"Ready",$A$7:A246,"&lt;&gt;"),"")</f>
        <v/>
      </c>
    </row>
    <row r="247">
      <c r="A247" s="20" t="n"/>
      <c r="B247" s="21" t="n"/>
      <c r="C247" s="22">
        <f>IF(A247="","",CHOOSE(WEEKDAY(A247,2),"Mon","Tue","Wed","Thu","Fri","Sat","Sun"))</f>
        <v/>
      </c>
      <c r="D247" s="23" t="n"/>
      <c r="E247" s="23" t="n"/>
      <c r="F247" s="23" t="n"/>
      <c r="G247" s="24" t="n"/>
      <c r="H247" s="24" t="n"/>
      <c r="I247" s="22">
        <f>IF(H247="","",LEN(H247))</f>
        <v/>
      </c>
      <c r="J247" s="25">
        <f>IF(D247="","",IFERROR(INDEX(PlatformLimits,MATCH(D247,PlatformNames,0)),""))</f>
        <v/>
      </c>
      <c r="K247" s="24" t="n"/>
      <c r="L247" s="23" t="n"/>
      <c r="M247" s="23" t="n"/>
      <c r="N247" s="23" t="n"/>
      <c r="O247" s="24" t="n"/>
      <c r="P247" s="22">
        <f>IF(AND(D247=ExportPlatform,N247="Ready",A247&lt;&gt;""),COUNTIFS($D$7:D247,ExportPlatform,$N$7:N247,"Ready",$A$7:A247,"&lt;&gt;"),"")</f>
        <v/>
      </c>
    </row>
    <row r="248">
      <c r="A248" s="20" t="n"/>
      <c r="B248" s="21" t="n"/>
      <c r="C248" s="22">
        <f>IF(A248="","",CHOOSE(WEEKDAY(A248,2),"Mon","Tue","Wed","Thu","Fri","Sat","Sun"))</f>
        <v/>
      </c>
      <c r="D248" s="23" t="n"/>
      <c r="E248" s="23" t="n"/>
      <c r="F248" s="23" t="n"/>
      <c r="G248" s="24" t="n"/>
      <c r="H248" s="24" t="n"/>
      <c r="I248" s="22">
        <f>IF(H248="","",LEN(H248))</f>
        <v/>
      </c>
      <c r="J248" s="25">
        <f>IF(D248="","",IFERROR(INDEX(PlatformLimits,MATCH(D248,PlatformNames,0)),""))</f>
        <v/>
      </c>
      <c r="K248" s="24" t="n"/>
      <c r="L248" s="23" t="n"/>
      <c r="M248" s="23" t="n"/>
      <c r="N248" s="23" t="n"/>
      <c r="O248" s="24" t="n"/>
      <c r="P248" s="22">
        <f>IF(AND(D248=ExportPlatform,N248="Ready",A248&lt;&gt;""),COUNTIFS($D$7:D248,ExportPlatform,$N$7:N248,"Ready",$A$7:A248,"&lt;&gt;"),"")</f>
        <v/>
      </c>
    </row>
    <row r="249">
      <c r="A249" s="20" t="n"/>
      <c r="B249" s="21" t="n"/>
      <c r="C249" s="22">
        <f>IF(A249="","",CHOOSE(WEEKDAY(A249,2),"Mon","Tue","Wed","Thu","Fri","Sat","Sun"))</f>
        <v/>
      </c>
      <c r="D249" s="23" t="n"/>
      <c r="E249" s="23" t="n"/>
      <c r="F249" s="23" t="n"/>
      <c r="G249" s="24" t="n"/>
      <c r="H249" s="24" t="n"/>
      <c r="I249" s="22">
        <f>IF(H249="","",LEN(H249))</f>
        <v/>
      </c>
      <c r="J249" s="25">
        <f>IF(D249="","",IFERROR(INDEX(PlatformLimits,MATCH(D249,PlatformNames,0)),""))</f>
        <v/>
      </c>
      <c r="K249" s="24" t="n"/>
      <c r="L249" s="23" t="n"/>
      <c r="M249" s="23" t="n"/>
      <c r="N249" s="23" t="n"/>
      <c r="O249" s="24" t="n"/>
      <c r="P249" s="22">
        <f>IF(AND(D249=ExportPlatform,N249="Ready",A249&lt;&gt;""),COUNTIFS($D$7:D249,ExportPlatform,$N$7:N249,"Ready",$A$7:A249,"&lt;&gt;"),"")</f>
        <v/>
      </c>
    </row>
    <row r="250">
      <c r="A250" s="20" t="n"/>
      <c r="B250" s="21" t="n"/>
      <c r="C250" s="22">
        <f>IF(A250="","",CHOOSE(WEEKDAY(A250,2),"Mon","Tue","Wed","Thu","Fri","Sat","Sun"))</f>
        <v/>
      </c>
      <c r="D250" s="23" t="n"/>
      <c r="E250" s="23" t="n"/>
      <c r="F250" s="23" t="n"/>
      <c r="G250" s="24" t="n"/>
      <c r="H250" s="24" t="n"/>
      <c r="I250" s="22">
        <f>IF(H250="","",LEN(H250))</f>
        <v/>
      </c>
      <c r="J250" s="25">
        <f>IF(D250="","",IFERROR(INDEX(PlatformLimits,MATCH(D250,PlatformNames,0)),""))</f>
        <v/>
      </c>
      <c r="K250" s="24" t="n"/>
      <c r="L250" s="23" t="n"/>
      <c r="M250" s="23" t="n"/>
      <c r="N250" s="23" t="n"/>
      <c r="O250" s="24" t="n"/>
      <c r="P250" s="22">
        <f>IF(AND(D250=ExportPlatform,N250="Ready",A250&lt;&gt;""),COUNTIFS($D$7:D250,ExportPlatform,$N$7:N250,"Ready",$A$7:A250,"&lt;&gt;"),"")</f>
        <v/>
      </c>
    </row>
    <row r="251">
      <c r="A251" s="20" t="n"/>
      <c r="B251" s="21" t="n"/>
      <c r="C251" s="22">
        <f>IF(A251="","",CHOOSE(WEEKDAY(A251,2),"Mon","Tue","Wed","Thu","Fri","Sat","Sun"))</f>
        <v/>
      </c>
      <c r="D251" s="23" t="n"/>
      <c r="E251" s="23" t="n"/>
      <c r="F251" s="23" t="n"/>
      <c r="G251" s="24" t="n"/>
      <c r="H251" s="24" t="n"/>
      <c r="I251" s="22">
        <f>IF(H251="","",LEN(H251))</f>
        <v/>
      </c>
      <c r="J251" s="25">
        <f>IF(D251="","",IFERROR(INDEX(PlatformLimits,MATCH(D251,PlatformNames,0)),""))</f>
        <v/>
      </c>
      <c r="K251" s="24" t="n"/>
      <c r="L251" s="23" t="n"/>
      <c r="M251" s="23" t="n"/>
      <c r="N251" s="23" t="n"/>
      <c r="O251" s="24" t="n"/>
      <c r="P251" s="22">
        <f>IF(AND(D251=ExportPlatform,N251="Ready",A251&lt;&gt;""),COUNTIFS($D$7:D251,ExportPlatform,$N$7:N251,"Ready",$A$7:A251,"&lt;&gt;"),"")</f>
        <v/>
      </c>
    </row>
    <row r="252">
      <c r="A252" s="20" t="n"/>
      <c r="B252" s="21" t="n"/>
      <c r="C252" s="22">
        <f>IF(A252="","",CHOOSE(WEEKDAY(A252,2),"Mon","Tue","Wed","Thu","Fri","Sat","Sun"))</f>
        <v/>
      </c>
      <c r="D252" s="23" t="n"/>
      <c r="E252" s="23" t="n"/>
      <c r="F252" s="23" t="n"/>
      <c r="G252" s="24" t="n"/>
      <c r="H252" s="24" t="n"/>
      <c r="I252" s="22">
        <f>IF(H252="","",LEN(H252))</f>
        <v/>
      </c>
      <c r="J252" s="25">
        <f>IF(D252="","",IFERROR(INDEX(PlatformLimits,MATCH(D252,PlatformNames,0)),""))</f>
        <v/>
      </c>
      <c r="K252" s="24" t="n"/>
      <c r="L252" s="23" t="n"/>
      <c r="M252" s="23" t="n"/>
      <c r="N252" s="23" t="n"/>
      <c r="O252" s="24" t="n"/>
      <c r="P252" s="22">
        <f>IF(AND(D252=ExportPlatform,N252="Ready",A252&lt;&gt;""),COUNTIFS($D$7:D252,ExportPlatform,$N$7:N252,"Ready",$A$7:A252,"&lt;&gt;"),"")</f>
        <v/>
      </c>
    </row>
    <row r="253">
      <c r="A253" s="20" t="n"/>
      <c r="B253" s="21" t="n"/>
      <c r="C253" s="22">
        <f>IF(A253="","",CHOOSE(WEEKDAY(A253,2),"Mon","Tue","Wed","Thu","Fri","Sat","Sun"))</f>
        <v/>
      </c>
      <c r="D253" s="23" t="n"/>
      <c r="E253" s="23" t="n"/>
      <c r="F253" s="23" t="n"/>
      <c r="G253" s="24" t="n"/>
      <c r="H253" s="24" t="n"/>
      <c r="I253" s="22">
        <f>IF(H253="","",LEN(H253))</f>
        <v/>
      </c>
      <c r="J253" s="25">
        <f>IF(D253="","",IFERROR(INDEX(PlatformLimits,MATCH(D253,PlatformNames,0)),""))</f>
        <v/>
      </c>
      <c r="K253" s="24" t="n"/>
      <c r="L253" s="23" t="n"/>
      <c r="M253" s="23" t="n"/>
      <c r="N253" s="23" t="n"/>
      <c r="O253" s="24" t="n"/>
      <c r="P253" s="22">
        <f>IF(AND(D253=ExportPlatform,N253="Ready",A253&lt;&gt;""),COUNTIFS($D$7:D253,ExportPlatform,$N$7:N253,"Ready",$A$7:A253,"&lt;&gt;"),"")</f>
        <v/>
      </c>
    </row>
    <row r="254">
      <c r="A254" s="20" t="n"/>
      <c r="B254" s="21" t="n"/>
      <c r="C254" s="22">
        <f>IF(A254="","",CHOOSE(WEEKDAY(A254,2),"Mon","Tue","Wed","Thu","Fri","Sat","Sun"))</f>
        <v/>
      </c>
      <c r="D254" s="23" t="n"/>
      <c r="E254" s="23" t="n"/>
      <c r="F254" s="23" t="n"/>
      <c r="G254" s="24" t="n"/>
      <c r="H254" s="24" t="n"/>
      <c r="I254" s="22">
        <f>IF(H254="","",LEN(H254))</f>
        <v/>
      </c>
      <c r="J254" s="25">
        <f>IF(D254="","",IFERROR(INDEX(PlatformLimits,MATCH(D254,PlatformNames,0)),""))</f>
        <v/>
      </c>
      <c r="K254" s="24" t="n"/>
      <c r="L254" s="23" t="n"/>
      <c r="M254" s="23" t="n"/>
      <c r="N254" s="23" t="n"/>
      <c r="O254" s="24" t="n"/>
      <c r="P254" s="22">
        <f>IF(AND(D254=ExportPlatform,N254="Ready",A254&lt;&gt;""),COUNTIFS($D$7:D254,ExportPlatform,$N$7:N254,"Ready",$A$7:A254,"&lt;&gt;"),"")</f>
        <v/>
      </c>
    </row>
    <row r="255">
      <c r="A255" s="20" t="n"/>
      <c r="B255" s="21" t="n"/>
      <c r="C255" s="22">
        <f>IF(A255="","",CHOOSE(WEEKDAY(A255,2),"Mon","Tue","Wed","Thu","Fri","Sat","Sun"))</f>
        <v/>
      </c>
      <c r="D255" s="23" t="n"/>
      <c r="E255" s="23" t="n"/>
      <c r="F255" s="23" t="n"/>
      <c r="G255" s="24" t="n"/>
      <c r="H255" s="24" t="n"/>
      <c r="I255" s="22">
        <f>IF(H255="","",LEN(H255))</f>
        <v/>
      </c>
      <c r="J255" s="25">
        <f>IF(D255="","",IFERROR(INDEX(PlatformLimits,MATCH(D255,PlatformNames,0)),""))</f>
        <v/>
      </c>
      <c r="K255" s="24" t="n"/>
      <c r="L255" s="23" t="n"/>
      <c r="M255" s="23" t="n"/>
      <c r="N255" s="23" t="n"/>
      <c r="O255" s="24" t="n"/>
      <c r="P255" s="22">
        <f>IF(AND(D255=ExportPlatform,N255="Ready",A255&lt;&gt;""),COUNTIFS($D$7:D255,ExportPlatform,$N$7:N255,"Ready",$A$7:A255,"&lt;&gt;"),"")</f>
        <v/>
      </c>
    </row>
    <row r="256">
      <c r="A256" s="20" t="n"/>
      <c r="B256" s="21" t="n"/>
      <c r="C256" s="22">
        <f>IF(A256="","",CHOOSE(WEEKDAY(A256,2),"Mon","Tue","Wed","Thu","Fri","Sat","Sun"))</f>
        <v/>
      </c>
      <c r="D256" s="23" t="n"/>
      <c r="E256" s="23" t="n"/>
      <c r="F256" s="23" t="n"/>
      <c r="G256" s="24" t="n"/>
      <c r="H256" s="24" t="n"/>
      <c r="I256" s="22">
        <f>IF(H256="","",LEN(H256))</f>
        <v/>
      </c>
      <c r="J256" s="25">
        <f>IF(D256="","",IFERROR(INDEX(PlatformLimits,MATCH(D256,PlatformNames,0)),""))</f>
        <v/>
      </c>
      <c r="K256" s="24" t="n"/>
      <c r="L256" s="23" t="n"/>
      <c r="M256" s="23" t="n"/>
      <c r="N256" s="23" t="n"/>
      <c r="O256" s="24" t="n"/>
      <c r="P256" s="22">
        <f>IF(AND(D256=ExportPlatform,N256="Ready",A256&lt;&gt;""),COUNTIFS($D$7:D256,ExportPlatform,$N$7:N256,"Ready",$A$7:A256,"&lt;&gt;"),"")</f>
        <v/>
      </c>
    </row>
    <row r="257">
      <c r="A257" s="20" t="n"/>
      <c r="B257" s="21" t="n"/>
      <c r="C257" s="22">
        <f>IF(A257="","",CHOOSE(WEEKDAY(A257,2),"Mon","Tue","Wed","Thu","Fri","Sat","Sun"))</f>
        <v/>
      </c>
      <c r="D257" s="23" t="n"/>
      <c r="E257" s="23" t="n"/>
      <c r="F257" s="23" t="n"/>
      <c r="G257" s="24" t="n"/>
      <c r="H257" s="24" t="n"/>
      <c r="I257" s="22">
        <f>IF(H257="","",LEN(H257))</f>
        <v/>
      </c>
      <c r="J257" s="25">
        <f>IF(D257="","",IFERROR(INDEX(PlatformLimits,MATCH(D257,PlatformNames,0)),""))</f>
        <v/>
      </c>
      <c r="K257" s="24" t="n"/>
      <c r="L257" s="23" t="n"/>
      <c r="M257" s="23" t="n"/>
      <c r="N257" s="23" t="n"/>
      <c r="O257" s="24" t="n"/>
      <c r="P257" s="22">
        <f>IF(AND(D257=ExportPlatform,N257="Ready",A257&lt;&gt;""),COUNTIFS($D$7:D257,ExportPlatform,$N$7:N257,"Ready",$A$7:A257,"&lt;&gt;"),"")</f>
        <v/>
      </c>
    </row>
    <row r="258">
      <c r="A258" s="20" t="n"/>
      <c r="B258" s="21" t="n"/>
      <c r="C258" s="22">
        <f>IF(A258="","",CHOOSE(WEEKDAY(A258,2),"Mon","Tue","Wed","Thu","Fri","Sat","Sun"))</f>
        <v/>
      </c>
      <c r="D258" s="23" t="n"/>
      <c r="E258" s="23" t="n"/>
      <c r="F258" s="23" t="n"/>
      <c r="G258" s="24" t="n"/>
      <c r="H258" s="24" t="n"/>
      <c r="I258" s="22">
        <f>IF(H258="","",LEN(H258))</f>
        <v/>
      </c>
      <c r="J258" s="25">
        <f>IF(D258="","",IFERROR(INDEX(PlatformLimits,MATCH(D258,PlatformNames,0)),""))</f>
        <v/>
      </c>
      <c r="K258" s="24" t="n"/>
      <c r="L258" s="23" t="n"/>
      <c r="M258" s="23" t="n"/>
      <c r="N258" s="23" t="n"/>
      <c r="O258" s="24" t="n"/>
      <c r="P258" s="22">
        <f>IF(AND(D258=ExportPlatform,N258="Ready",A258&lt;&gt;""),COUNTIFS($D$7:D258,ExportPlatform,$N$7:N258,"Ready",$A$7:A258,"&lt;&gt;"),"")</f>
        <v/>
      </c>
    </row>
    <row r="259">
      <c r="A259" s="20" t="n"/>
      <c r="B259" s="21" t="n"/>
      <c r="C259" s="22">
        <f>IF(A259="","",CHOOSE(WEEKDAY(A259,2),"Mon","Tue","Wed","Thu","Fri","Sat","Sun"))</f>
        <v/>
      </c>
      <c r="D259" s="23" t="n"/>
      <c r="E259" s="23" t="n"/>
      <c r="F259" s="23" t="n"/>
      <c r="G259" s="24" t="n"/>
      <c r="H259" s="24" t="n"/>
      <c r="I259" s="22">
        <f>IF(H259="","",LEN(H259))</f>
        <v/>
      </c>
      <c r="J259" s="25">
        <f>IF(D259="","",IFERROR(INDEX(PlatformLimits,MATCH(D259,PlatformNames,0)),""))</f>
        <v/>
      </c>
      <c r="K259" s="24" t="n"/>
      <c r="L259" s="23" t="n"/>
      <c r="M259" s="23" t="n"/>
      <c r="N259" s="23" t="n"/>
      <c r="O259" s="24" t="n"/>
      <c r="P259" s="22">
        <f>IF(AND(D259=ExportPlatform,N259="Ready",A259&lt;&gt;""),COUNTIFS($D$7:D259,ExportPlatform,$N$7:N259,"Ready",$A$7:A259,"&lt;&gt;"),"")</f>
        <v/>
      </c>
    </row>
    <row r="260">
      <c r="A260" s="20" t="n"/>
      <c r="B260" s="21" t="n"/>
      <c r="C260" s="22">
        <f>IF(A260="","",CHOOSE(WEEKDAY(A260,2),"Mon","Tue","Wed","Thu","Fri","Sat","Sun"))</f>
        <v/>
      </c>
      <c r="D260" s="23" t="n"/>
      <c r="E260" s="23" t="n"/>
      <c r="F260" s="23" t="n"/>
      <c r="G260" s="24" t="n"/>
      <c r="H260" s="24" t="n"/>
      <c r="I260" s="22">
        <f>IF(H260="","",LEN(H260))</f>
        <v/>
      </c>
      <c r="J260" s="25">
        <f>IF(D260="","",IFERROR(INDEX(PlatformLimits,MATCH(D260,PlatformNames,0)),""))</f>
        <v/>
      </c>
      <c r="K260" s="24" t="n"/>
      <c r="L260" s="23" t="n"/>
      <c r="M260" s="23" t="n"/>
      <c r="N260" s="23" t="n"/>
      <c r="O260" s="24" t="n"/>
      <c r="P260" s="22">
        <f>IF(AND(D260=ExportPlatform,N260="Ready",A260&lt;&gt;""),COUNTIFS($D$7:D260,ExportPlatform,$N$7:N260,"Ready",$A$7:A260,"&lt;&gt;"),"")</f>
        <v/>
      </c>
    </row>
    <row r="261">
      <c r="A261" s="20" t="n"/>
      <c r="B261" s="21" t="n"/>
      <c r="C261" s="22">
        <f>IF(A261="","",CHOOSE(WEEKDAY(A261,2),"Mon","Tue","Wed","Thu","Fri","Sat","Sun"))</f>
        <v/>
      </c>
      <c r="D261" s="23" t="n"/>
      <c r="E261" s="23" t="n"/>
      <c r="F261" s="23" t="n"/>
      <c r="G261" s="24" t="n"/>
      <c r="H261" s="24" t="n"/>
      <c r="I261" s="22">
        <f>IF(H261="","",LEN(H261))</f>
        <v/>
      </c>
      <c r="J261" s="25">
        <f>IF(D261="","",IFERROR(INDEX(PlatformLimits,MATCH(D261,PlatformNames,0)),""))</f>
        <v/>
      </c>
      <c r="K261" s="24" t="n"/>
      <c r="L261" s="23" t="n"/>
      <c r="M261" s="23" t="n"/>
      <c r="N261" s="23" t="n"/>
      <c r="O261" s="24" t="n"/>
      <c r="P261" s="22">
        <f>IF(AND(D261=ExportPlatform,N261="Ready",A261&lt;&gt;""),COUNTIFS($D$7:D261,ExportPlatform,$N$7:N261,"Ready",$A$7:A261,"&lt;&gt;"),"")</f>
        <v/>
      </c>
    </row>
    <row r="262">
      <c r="A262" s="20" t="n"/>
      <c r="B262" s="21" t="n"/>
      <c r="C262" s="22">
        <f>IF(A262="","",CHOOSE(WEEKDAY(A262,2),"Mon","Tue","Wed","Thu","Fri","Sat","Sun"))</f>
        <v/>
      </c>
      <c r="D262" s="23" t="n"/>
      <c r="E262" s="23" t="n"/>
      <c r="F262" s="23" t="n"/>
      <c r="G262" s="24" t="n"/>
      <c r="H262" s="24" t="n"/>
      <c r="I262" s="22">
        <f>IF(H262="","",LEN(H262))</f>
        <v/>
      </c>
      <c r="J262" s="25">
        <f>IF(D262="","",IFERROR(INDEX(PlatformLimits,MATCH(D262,PlatformNames,0)),""))</f>
        <v/>
      </c>
      <c r="K262" s="24" t="n"/>
      <c r="L262" s="23" t="n"/>
      <c r="M262" s="23" t="n"/>
      <c r="N262" s="23" t="n"/>
      <c r="O262" s="24" t="n"/>
      <c r="P262" s="22">
        <f>IF(AND(D262=ExportPlatform,N262="Ready",A262&lt;&gt;""),COUNTIFS($D$7:D262,ExportPlatform,$N$7:N262,"Ready",$A$7:A262,"&lt;&gt;"),"")</f>
        <v/>
      </c>
    </row>
    <row r="263">
      <c r="A263" s="20" t="n"/>
      <c r="B263" s="21" t="n"/>
      <c r="C263" s="22">
        <f>IF(A263="","",CHOOSE(WEEKDAY(A263,2),"Mon","Tue","Wed","Thu","Fri","Sat","Sun"))</f>
        <v/>
      </c>
      <c r="D263" s="23" t="n"/>
      <c r="E263" s="23" t="n"/>
      <c r="F263" s="23" t="n"/>
      <c r="G263" s="24" t="n"/>
      <c r="H263" s="24" t="n"/>
      <c r="I263" s="22">
        <f>IF(H263="","",LEN(H263))</f>
        <v/>
      </c>
      <c r="J263" s="25">
        <f>IF(D263="","",IFERROR(INDEX(PlatformLimits,MATCH(D263,PlatformNames,0)),""))</f>
        <v/>
      </c>
      <c r="K263" s="24" t="n"/>
      <c r="L263" s="23" t="n"/>
      <c r="M263" s="23" t="n"/>
      <c r="N263" s="23" t="n"/>
      <c r="O263" s="24" t="n"/>
      <c r="P263" s="22">
        <f>IF(AND(D263=ExportPlatform,N263="Ready",A263&lt;&gt;""),COUNTIFS($D$7:D263,ExportPlatform,$N$7:N263,"Ready",$A$7:A263,"&lt;&gt;"),"")</f>
        <v/>
      </c>
    </row>
    <row r="264">
      <c r="A264" s="20" t="n"/>
      <c r="B264" s="21" t="n"/>
      <c r="C264" s="22">
        <f>IF(A264="","",CHOOSE(WEEKDAY(A264,2),"Mon","Tue","Wed","Thu","Fri","Sat","Sun"))</f>
        <v/>
      </c>
      <c r="D264" s="23" t="n"/>
      <c r="E264" s="23" t="n"/>
      <c r="F264" s="23" t="n"/>
      <c r="G264" s="24" t="n"/>
      <c r="H264" s="24" t="n"/>
      <c r="I264" s="22">
        <f>IF(H264="","",LEN(H264))</f>
        <v/>
      </c>
      <c r="J264" s="25">
        <f>IF(D264="","",IFERROR(INDEX(PlatformLimits,MATCH(D264,PlatformNames,0)),""))</f>
        <v/>
      </c>
      <c r="K264" s="24" t="n"/>
      <c r="L264" s="23" t="n"/>
      <c r="M264" s="23" t="n"/>
      <c r="N264" s="23" t="n"/>
      <c r="O264" s="24" t="n"/>
      <c r="P264" s="22">
        <f>IF(AND(D264=ExportPlatform,N264="Ready",A264&lt;&gt;""),COUNTIFS($D$7:D264,ExportPlatform,$N$7:N264,"Ready",$A$7:A264,"&lt;&gt;"),"")</f>
        <v/>
      </c>
    </row>
    <row r="265">
      <c r="A265" s="20" t="n"/>
      <c r="B265" s="21" t="n"/>
      <c r="C265" s="22">
        <f>IF(A265="","",CHOOSE(WEEKDAY(A265,2),"Mon","Tue","Wed","Thu","Fri","Sat","Sun"))</f>
        <v/>
      </c>
      <c r="D265" s="23" t="n"/>
      <c r="E265" s="23" t="n"/>
      <c r="F265" s="23" t="n"/>
      <c r="G265" s="24" t="n"/>
      <c r="H265" s="24" t="n"/>
      <c r="I265" s="22">
        <f>IF(H265="","",LEN(H265))</f>
        <v/>
      </c>
      <c r="J265" s="25">
        <f>IF(D265="","",IFERROR(INDEX(PlatformLimits,MATCH(D265,PlatformNames,0)),""))</f>
        <v/>
      </c>
      <c r="K265" s="24" t="n"/>
      <c r="L265" s="23" t="n"/>
      <c r="M265" s="23" t="n"/>
      <c r="N265" s="23" t="n"/>
      <c r="O265" s="24" t="n"/>
      <c r="P265" s="22">
        <f>IF(AND(D265=ExportPlatform,N265="Ready",A265&lt;&gt;""),COUNTIFS($D$7:D265,ExportPlatform,$N$7:N265,"Ready",$A$7:A265,"&lt;&gt;"),"")</f>
        <v/>
      </c>
    </row>
    <row r="266">
      <c r="A266" s="20" t="n"/>
      <c r="B266" s="21" t="n"/>
      <c r="C266" s="22">
        <f>IF(A266="","",CHOOSE(WEEKDAY(A266,2),"Mon","Tue","Wed","Thu","Fri","Sat","Sun"))</f>
        <v/>
      </c>
      <c r="D266" s="23" t="n"/>
      <c r="E266" s="23" t="n"/>
      <c r="F266" s="23" t="n"/>
      <c r="G266" s="24" t="n"/>
      <c r="H266" s="24" t="n"/>
      <c r="I266" s="22">
        <f>IF(H266="","",LEN(H266))</f>
        <v/>
      </c>
      <c r="J266" s="25">
        <f>IF(D266="","",IFERROR(INDEX(PlatformLimits,MATCH(D266,PlatformNames,0)),""))</f>
        <v/>
      </c>
      <c r="K266" s="24" t="n"/>
      <c r="L266" s="23" t="n"/>
      <c r="M266" s="23" t="n"/>
      <c r="N266" s="23" t="n"/>
      <c r="O266" s="24" t="n"/>
      <c r="P266" s="22">
        <f>IF(AND(D266=ExportPlatform,N266="Ready",A266&lt;&gt;""),COUNTIFS($D$7:D266,ExportPlatform,$N$7:N266,"Ready",$A$7:A266,"&lt;&gt;"),"")</f>
        <v/>
      </c>
    </row>
    <row r="267">
      <c r="A267" s="20" t="n"/>
      <c r="B267" s="21" t="n"/>
      <c r="C267" s="22">
        <f>IF(A267="","",CHOOSE(WEEKDAY(A267,2),"Mon","Tue","Wed","Thu","Fri","Sat","Sun"))</f>
        <v/>
      </c>
      <c r="D267" s="23" t="n"/>
      <c r="E267" s="23" t="n"/>
      <c r="F267" s="23" t="n"/>
      <c r="G267" s="24" t="n"/>
      <c r="H267" s="24" t="n"/>
      <c r="I267" s="22">
        <f>IF(H267="","",LEN(H267))</f>
        <v/>
      </c>
      <c r="J267" s="25">
        <f>IF(D267="","",IFERROR(INDEX(PlatformLimits,MATCH(D267,PlatformNames,0)),""))</f>
        <v/>
      </c>
      <c r="K267" s="24" t="n"/>
      <c r="L267" s="23" t="n"/>
      <c r="M267" s="23" t="n"/>
      <c r="N267" s="23" t="n"/>
      <c r="O267" s="24" t="n"/>
      <c r="P267" s="22">
        <f>IF(AND(D267=ExportPlatform,N267="Ready",A267&lt;&gt;""),COUNTIFS($D$7:D267,ExportPlatform,$N$7:N267,"Ready",$A$7:A267,"&lt;&gt;"),"")</f>
        <v/>
      </c>
    </row>
    <row r="268">
      <c r="A268" s="20" t="n"/>
      <c r="B268" s="21" t="n"/>
      <c r="C268" s="22">
        <f>IF(A268="","",CHOOSE(WEEKDAY(A268,2),"Mon","Tue","Wed","Thu","Fri","Sat","Sun"))</f>
        <v/>
      </c>
      <c r="D268" s="23" t="n"/>
      <c r="E268" s="23" t="n"/>
      <c r="F268" s="23" t="n"/>
      <c r="G268" s="24" t="n"/>
      <c r="H268" s="24" t="n"/>
      <c r="I268" s="22">
        <f>IF(H268="","",LEN(H268))</f>
        <v/>
      </c>
      <c r="J268" s="25">
        <f>IF(D268="","",IFERROR(INDEX(PlatformLimits,MATCH(D268,PlatformNames,0)),""))</f>
        <v/>
      </c>
      <c r="K268" s="24" t="n"/>
      <c r="L268" s="23" t="n"/>
      <c r="M268" s="23" t="n"/>
      <c r="N268" s="23" t="n"/>
      <c r="O268" s="24" t="n"/>
      <c r="P268" s="22">
        <f>IF(AND(D268=ExportPlatform,N268="Ready",A268&lt;&gt;""),COUNTIFS($D$7:D268,ExportPlatform,$N$7:N268,"Ready",$A$7:A268,"&lt;&gt;"),"")</f>
        <v/>
      </c>
    </row>
    <row r="269">
      <c r="A269" s="20" t="n"/>
      <c r="B269" s="21" t="n"/>
      <c r="C269" s="22">
        <f>IF(A269="","",CHOOSE(WEEKDAY(A269,2),"Mon","Tue","Wed","Thu","Fri","Sat","Sun"))</f>
        <v/>
      </c>
      <c r="D269" s="23" t="n"/>
      <c r="E269" s="23" t="n"/>
      <c r="F269" s="23" t="n"/>
      <c r="G269" s="24" t="n"/>
      <c r="H269" s="24" t="n"/>
      <c r="I269" s="22">
        <f>IF(H269="","",LEN(H269))</f>
        <v/>
      </c>
      <c r="J269" s="25">
        <f>IF(D269="","",IFERROR(INDEX(PlatformLimits,MATCH(D269,PlatformNames,0)),""))</f>
        <v/>
      </c>
      <c r="K269" s="24" t="n"/>
      <c r="L269" s="23" t="n"/>
      <c r="M269" s="23" t="n"/>
      <c r="N269" s="23" t="n"/>
      <c r="O269" s="24" t="n"/>
      <c r="P269" s="22">
        <f>IF(AND(D269=ExportPlatform,N269="Ready",A269&lt;&gt;""),COUNTIFS($D$7:D269,ExportPlatform,$N$7:N269,"Ready",$A$7:A269,"&lt;&gt;"),"")</f>
        <v/>
      </c>
    </row>
    <row r="270">
      <c r="A270" s="20" t="n"/>
      <c r="B270" s="21" t="n"/>
      <c r="C270" s="22">
        <f>IF(A270="","",CHOOSE(WEEKDAY(A270,2),"Mon","Tue","Wed","Thu","Fri","Sat","Sun"))</f>
        <v/>
      </c>
      <c r="D270" s="23" t="n"/>
      <c r="E270" s="23" t="n"/>
      <c r="F270" s="23" t="n"/>
      <c r="G270" s="24" t="n"/>
      <c r="H270" s="24" t="n"/>
      <c r="I270" s="22">
        <f>IF(H270="","",LEN(H270))</f>
        <v/>
      </c>
      <c r="J270" s="25">
        <f>IF(D270="","",IFERROR(INDEX(PlatformLimits,MATCH(D270,PlatformNames,0)),""))</f>
        <v/>
      </c>
      <c r="K270" s="24" t="n"/>
      <c r="L270" s="23" t="n"/>
      <c r="M270" s="23" t="n"/>
      <c r="N270" s="23" t="n"/>
      <c r="O270" s="24" t="n"/>
      <c r="P270" s="22">
        <f>IF(AND(D270=ExportPlatform,N270="Ready",A270&lt;&gt;""),COUNTIFS($D$7:D270,ExportPlatform,$N$7:N270,"Ready",$A$7:A270,"&lt;&gt;"),"")</f>
        <v/>
      </c>
    </row>
    <row r="271">
      <c r="A271" s="20" t="n"/>
      <c r="B271" s="21" t="n"/>
      <c r="C271" s="22">
        <f>IF(A271="","",CHOOSE(WEEKDAY(A271,2),"Mon","Tue","Wed","Thu","Fri","Sat","Sun"))</f>
        <v/>
      </c>
      <c r="D271" s="23" t="n"/>
      <c r="E271" s="23" t="n"/>
      <c r="F271" s="23" t="n"/>
      <c r="G271" s="24" t="n"/>
      <c r="H271" s="24" t="n"/>
      <c r="I271" s="22">
        <f>IF(H271="","",LEN(H271))</f>
        <v/>
      </c>
      <c r="J271" s="25">
        <f>IF(D271="","",IFERROR(INDEX(PlatformLimits,MATCH(D271,PlatformNames,0)),""))</f>
        <v/>
      </c>
      <c r="K271" s="24" t="n"/>
      <c r="L271" s="23" t="n"/>
      <c r="M271" s="23" t="n"/>
      <c r="N271" s="23" t="n"/>
      <c r="O271" s="24" t="n"/>
      <c r="P271" s="22">
        <f>IF(AND(D271=ExportPlatform,N271="Ready",A271&lt;&gt;""),COUNTIFS($D$7:D271,ExportPlatform,$N$7:N271,"Ready",$A$7:A271,"&lt;&gt;"),"")</f>
        <v/>
      </c>
    </row>
    <row r="272">
      <c r="A272" s="20" t="n"/>
      <c r="B272" s="21" t="n"/>
      <c r="C272" s="22">
        <f>IF(A272="","",CHOOSE(WEEKDAY(A272,2),"Mon","Tue","Wed","Thu","Fri","Sat","Sun"))</f>
        <v/>
      </c>
      <c r="D272" s="23" t="n"/>
      <c r="E272" s="23" t="n"/>
      <c r="F272" s="23" t="n"/>
      <c r="G272" s="24" t="n"/>
      <c r="H272" s="24" t="n"/>
      <c r="I272" s="22">
        <f>IF(H272="","",LEN(H272))</f>
        <v/>
      </c>
      <c r="J272" s="25">
        <f>IF(D272="","",IFERROR(INDEX(PlatformLimits,MATCH(D272,PlatformNames,0)),""))</f>
        <v/>
      </c>
      <c r="K272" s="24" t="n"/>
      <c r="L272" s="23" t="n"/>
      <c r="M272" s="23" t="n"/>
      <c r="N272" s="23" t="n"/>
      <c r="O272" s="24" t="n"/>
      <c r="P272" s="22">
        <f>IF(AND(D272=ExportPlatform,N272="Ready",A272&lt;&gt;""),COUNTIFS($D$7:D272,ExportPlatform,$N$7:N272,"Ready",$A$7:A272,"&lt;&gt;"),"")</f>
        <v/>
      </c>
    </row>
    <row r="273">
      <c r="A273" s="20" t="n"/>
      <c r="B273" s="21" t="n"/>
      <c r="C273" s="22">
        <f>IF(A273="","",CHOOSE(WEEKDAY(A273,2),"Mon","Tue","Wed","Thu","Fri","Sat","Sun"))</f>
        <v/>
      </c>
      <c r="D273" s="23" t="n"/>
      <c r="E273" s="23" t="n"/>
      <c r="F273" s="23" t="n"/>
      <c r="G273" s="24" t="n"/>
      <c r="H273" s="24" t="n"/>
      <c r="I273" s="22">
        <f>IF(H273="","",LEN(H273))</f>
        <v/>
      </c>
      <c r="J273" s="25">
        <f>IF(D273="","",IFERROR(INDEX(PlatformLimits,MATCH(D273,PlatformNames,0)),""))</f>
        <v/>
      </c>
      <c r="K273" s="24" t="n"/>
      <c r="L273" s="23" t="n"/>
      <c r="M273" s="23" t="n"/>
      <c r="N273" s="23" t="n"/>
      <c r="O273" s="24" t="n"/>
      <c r="P273" s="22">
        <f>IF(AND(D273=ExportPlatform,N273="Ready",A273&lt;&gt;""),COUNTIFS($D$7:D273,ExportPlatform,$N$7:N273,"Ready",$A$7:A273,"&lt;&gt;"),"")</f>
        <v/>
      </c>
    </row>
    <row r="274">
      <c r="A274" s="20" t="n"/>
      <c r="B274" s="21" t="n"/>
      <c r="C274" s="22">
        <f>IF(A274="","",CHOOSE(WEEKDAY(A274,2),"Mon","Tue","Wed","Thu","Fri","Sat","Sun"))</f>
        <v/>
      </c>
      <c r="D274" s="23" t="n"/>
      <c r="E274" s="23" t="n"/>
      <c r="F274" s="23" t="n"/>
      <c r="G274" s="24" t="n"/>
      <c r="H274" s="24" t="n"/>
      <c r="I274" s="22">
        <f>IF(H274="","",LEN(H274))</f>
        <v/>
      </c>
      <c r="J274" s="25">
        <f>IF(D274="","",IFERROR(INDEX(PlatformLimits,MATCH(D274,PlatformNames,0)),""))</f>
        <v/>
      </c>
      <c r="K274" s="24" t="n"/>
      <c r="L274" s="23" t="n"/>
      <c r="M274" s="23" t="n"/>
      <c r="N274" s="23" t="n"/>
      <c r="O274" s="24" t="n"/>
      <c r="P274" s="22">
        <f>IF(AND(D274=ExportPlatform,N274="Ready",A274&lt;&gt;""),COUNTIFS($D$7:D274,ExportPlatform,$N$7:N274,"Ready",$A$7:A274,"&lt;&gt;"),"")</f>
        <v/>
      </c>
    </row>
    <row r="275">
      <c r="A275" s="20" t="n"/>
      <c r="B275" s="21" t="n"/>
      <c r="C275" s="22">
        <f>IF(A275="","",CHOOSE(WEEKDAY(A275,2),"Mon","Tue","Wed","Thu","Fri","Sat","Sun"))</f>
        <v/>
      </c>
      <c r="D275" s="23" t="n"/>
      <c r="E275" s="23" t="n"/>
      <c r="F275" s="23" t="n"/>
      <c r="G275" s="24" t="n"/>
      <c r="H275" s="24" t="n"/>
      <c r="I275" s="22">
        <f>IF(H275="","",LEN(H275))</f>
        <v/>
      </c>
      <c r="J275" s="25">
        <f>IF(D275="","",IFERROR(INDEX(PlatformLimits,MATCH(D275,PlatformNames,0)),""))</f>
        <v/>
      </c>
      <c r="K275" s="24" t="n"/>
      <c r="L275" s="23" t="n"/>
      <c r="M275" s="23" t="n"/>
      <c r="N275" s="23" t="n"/>
      <c r="O275" s="24" t="n"/>
      <c r="P275" s="22">
        <f>IF(AND(D275=ExportPlatform,N275="Ready",A275&lt;&gt;""),COUNTIFS($D$7:D275,ExportPlatform,$N$7:N275,"Ready",$A$7:A275,"&lt;&gt;"),"")</f>
        <v/>
      </c>
    </row>
    <row r="276">
      <c r="A276" s="20" t="n"/>
      <c r="B276" s="21" t="n"/>
      <c r="C276" s="22">
        <f>IF(A276="","",CHOOSE(WEEKDAY(A276,2),"Mon","Tue","Wed","Thu","Fri","Sat","Sun"))</f>
        <v/>
      </c>
      <c r="D276" s="23" t="n"/>
      <c r="E276" s="23" t="n"/>
      <c r="F276" s="23" t="n"/>
      <c r="G276" s="24" t="n"/>
      <c r="H276" s="24" t="n"/>
      <c r="I276" s="22">
        <f>IF(H276="","",LEN(H276))</f>
        <v/>
      </c>
      <c r="J276" s="25">
        <f>IF(D276="","",IFERROR(INDEX(PlatformLimits,MATCH(D276,PlatformNames,0)),""))</f>
        <v/>
      </c>
      <c r="K276" s="24" t="n"/>
      <c r="L276" s="23" t="n"/>
      <c r="M276" s="23" t="n"/>
      <c r="N276" s="23" t="n"/>
      <c r="O276" s="24" t="n"/>
      <c r="P276" s="22">
        <f>IF(AND(D276=ExportPlatform,N276="Ready",A276&lt;&gt;""),COUNTIFS($D$7:D276,ExportPlatform,$N$7:N276,"Ready",$A$7:A276,"&lt;&gt;"),"")</f>
        <v/>
      </c>
    </row>
    <row r="277">
      <c r="A277" s="20" t="n"/>
      <c r="B277" s="21" t="n"/>
      <c r="C277" s="22">
        <f>IF(A277="","",CHOOSE(WEEKDAY(A277,2),"Mon","Tue","Wed","Thu","Fri","Sat","Sun"))</f>
        <v/>
      </c>
      <c r="D277" s="23" t="n"/>
      <c r="E277" s="23" t="n"/>
      <c r="F277" s="23" t="n"/>
      <c r="G277" s="24" t="n"/>
      <c r="H277" s="24" t="n"/>
      <c r="I277" s="22">
        <f>IF(H277="","",LEN(H277))</f>
        <v/>
      </c>
      <c r="J277" s="25">
        <f>IF(D277="","",IFERROR(INDEX(PlatformLimits,MATCH(D277,PlatformNames,0)),""))</f>
        <v/>
      </c>
      <c r="K277" s="24" t="n"/>
      <c r="L277" s="23" t="n"/>
      <c r="M277" s="23" t="n"/>
      <c r="N277" s="23" t="n"/>
      <c r="O277" s="24" t="n"/>
      <c r="P277" s="22">
        <f>IF(AND(D277=ExportPlatform,N277="Ready",A277&lt;&gt;""),COUNTIFS($D$7:D277,ExportPlatform,$N$7:N277,"Ready",$A$7:A277,"&lt;&gt;"),"")</f>
        <v/>
      </c>
    </row>
    <row r="278">
      <c r="A278" s="20" t="n"/>
      <c r="B278" s="21" t="n"/>
      <c r="C278" s="22">
        <f>IF(A278="","",CHOOSE(WEEKDAY(A278,2),"Mon","Tue","Wed","Thu","Fri","Sat","Sun"))</f>
        <v/>
      </c>
      <c r="D278" s="23" t="n"/>
      <c r="E278" s="23" t="n"/>
      <c r="F278" s="23" t="n"/>
      <c r="G278" s="24" t="n"/>
      <c r="H278" s="24" t="n"/>
      <c r="I278" s="22">
        <f>IF(H278="","",LEN(H278))</f>
        <v/>
      </c>
      <c r="J278" s="25">
        <f>IF(D278="","",IFERROR(INDEX(PlatformLimits,MATCH(D278,PlatformNames,0)),""))</f>
        <v/>
      </c>
      <c r="K278" s="24" t="n"/>
      <c r="L278" s="23" t="n"/>
      <c r="M278" s="23" t="n"/>
      <c r="N278" s="23" t="n"/>
      <c r="O278" s="24" t="n"/>
      <c r="P278" s="22">
        <f>IF(AND(D278=ExportPlatform,N278="Ready",A278&lt;&gt;""),COUNTIFS($D$7:D278,ExportPlatform,$N$7:N278,"Ready",$A$7:A278,"&lt;&gt;"),"")</f>
        <v/>
      </c>
    </row>
    <row r="279">
      <c r="A279" s="20" t="n"/>
      <c r="B279" s="21" t="n"/>
      <c r="C279" s="22">
        <f>IF(A279="","",CHOOSE(WEEKDAY(A279,2),"Mon","Tue","Wed","Thu","Fri","Sat","Sun"))</f>
        <v/>
      </c>
      <c r="D279" s="23" t="n"/>
      <c r="E279" s="23" t="n"/>
      <c r="F279" s="23" t="n"/>
      <c r="G279" s="24" t="n"/>
      <c r="H279" s="24" t="n"/>
      <c r="I279" s="22">
        <f>IF(H279="","",LEN(H279))</f>
        <v/>
      </c>
      <c r="J279" s="25">
        <f>IF(D279="","",IFERROR(INDEX(PlatformLimits,MATCH(D279,PlatformNames,0)),""))</f>
        <v/>
      </c>
      <c r="K279" s="24" t="n"/>
      <c r="L279" s="23" t="n"/>
      <c r="M279" s="23" t="n"/>
      <c r="N279" s="23" t="n"/>
      <c r="O279" s="24" t="n"/>
      <c r="P279" s="22">
        <f>IF(AND(D279=ExportPlatform,N279="Ready",A279&lt;&gt;""),COUNTIFS($D$7:D279,ExportPlatform,$N$7:N279,"Ready",$A$7:A279,"&lt;&gt;"),"")</f>
        <v/>
      </c>
    </row>
    <row r="280">
      <c r="A280" s="20" t="n"/>
      <c r="B280" s="21" t="n"/>
      <c r="C280" s="22">
        <f>IF(A280="","",CHOOSE(WEEKDAY(A280,2),"Mon","Tue","Wed","Thu","Fri","Sat","Sun"))</f>
        <v/>
      </c>
      <c r="D280" s="23" t="n"/>
      <c r="E280" s="23" t="n"/>
      <c r="F280" s="23" t="n"/>
      <c r="G280" s="24" t="n"/>
      <c r="H280" s="24" t="n"/>
      <c r="I280" s="22">
        <f>IF(H280="","",LEN(H280))</f>
        <v/>
      </c>
      <c r="J280" s="25">
        <f>IF(D280="","",IFERROR(INDEX(PlatformLimits,MATCH(D280,PlatformNames,0)),""))</f>
        <v/>
      </c>
      <c r="K280" s="24" t="n"/>
      <c r="L280" s="23" t="n"/>
      <c r="M280" s="23" t="n"/>
      <c r="N280" s="23" t="n"/>
      <c r="O280" s="24" t="n"/>
      <c r="P280" s="22">
        <f>IF(AND(D280=ExportPlatform,N280="Ready",A280&lt;&gt;""),COUNTIFS($D$7:D280,ExportPlatform,$N$7:N280,"Ready",$A$7:A280,"&lt;&gt;"),"")</f>
        <v/>
      </c>
    </row>
    <row r="281">
      <c r="A281" s="20" t="n"/>
      <c r="B281" s="21" t="n"/>
      <c r="C281" s="22">
        <f>IF(A281="","",CHOOSE(WEEKDAY(A281,2),"Mon","Tue","Wed","Thu","Fri","Sat","Sun"))</f>
        <v/>
      </c>
      <c r="D281" s="23" t="n"/>
      <c r="E281" s="23" t="n"/>
      <c r="F281" s="23" t="n"/>
      <c r="G281" s="24" t="n"/>
      <c r="H281" s="24" t="n"/>
      <c r="I281" s="22">
        <f>IF(H281="","",LEN(H281))</f>
        <v/>
      </c>
      <c r="J281" s="25">
        <f>IF(D281="","",IFERROR(INDEX(PlatformLimits,MATCH(D281,PlatformNames,0)),""))</f>
        <v/>
      </c>
      <c r="K281" s="24" t="n"/>
      <c r="L281" s="23" t="n"/>
      <c r="M281" s="23" t="n"/>
      <c r="N281" s="23" t="n"/>
      <c r="O281" s="24" t="n"/>
      <c r="P281" s="22">
        <f>IF(AND(D281=ExportPlatform,N281="Ready",A281&lt;&gt;""),COUNTIFS($D$7:D281,ExportPlatform,$N$7:N281,"Ready",$A$7:A281,"&lt;&gt;"),"")</f>
        <v/>
      </c>
    </row>
    <row r="282">
      <c r="A282" s="20" t="n"/>
      <c r="B282" s="21" t="n"/>
      <c r="C282" s="22">
        <f>IF(A282="","",CHOOSE(WEEKDAY(A282,2),"Mon","Tue","Wed","Thu","Fri","Sat","Sun"))</f>
        <v/>
      </c>
      <c r="D282" s="23" t="n"/>
      <c r="E282" s="23" t="n"/>
      <c r="F282" s="23" t="n"/>
      <c r="G282" s="24" t="n"/>
      <c r="H282" s="24" t="n"/>
      <c r="I282" s="22">
        <f>IF(H282="","",LEN(H282))</f>
        <v/>
      </c>
      <c r="J282" s="25">
        <f>IF(D282="","",IFERROR(INDEX(PlatformLimits,MATCH(D282,PlatformNames,0)),""))</f>
        <v/>
      </c>
      <c r="K282" s="24" t="n"/>
      <c r="L282" s="23" t="n"/>
      <c r="M282" s="23" t="n"/>
      <c r="N282" s="23" t="n"/>
      <c r="O282" s="24" t="n"/>
      <c r="P282" s="22">
        <f>IF(AND(D282=ExportPlatform,N282="Ready",A282&lt;&gt;""),COUNTIFS($D$7:D282,ExportPlatform,$N$7:N282,"Ready",$A$7:A282,"&lt;&gt;"),"")</f>
        <v/>
      </c>
    </row>
    <row r="283">
      <c r="A283" s="20" t="n"/>
      <c r="B283" s="21" t="n"/>
      <c r="C283" s="22">
        <f>IF(A283="","",CHOOSE(WEEKDAY(A283,2),"Mon","Tue","Wed","Thu","Fri","Sat","Sun"))</f>
        <v/>
      </c>
      <c r="D283" s="23" t="n"/>
      <c r="E283" s="23" t="n"/>
      <c r="F283" s="23" t="n"/>
      <c r="G283" s="24" t="n"/>
      <c r="H283" s="24" t="n"/>
      <c r="I283" s="22">
        <f>IF(H283="","",LEN(H283))</f>
        <v/>
      </c>
      <c r="J283" s="25">
        <f>IF(D283="","",IFERROR(INDEX(PlatformLimits,MATCH(D283,PlatformNames,0)),""))</f>
        <v/>
      </c>
      <c r="K283" s="24" t="n"/>
      <c r="L283" s="23" t="n"/>
      <c r="M283" s="23" t="n"/>
      <c r="N283" s="23" t="n"/>
      <c r="O283" s="24" t="n"/>
      <c r="P283" s="22">
        <f>IF(AND(D283=ExportPlatform,N283="Ready",A283&lt;&gt;""),COUNTIFS($D$7:D283,ExportPlatform,$N$7:N283,"Ready",$A$7:A283,"&lt;&gt;"),"")</f>
        <v/>
      </c>
    </row>
    <row r="284">
      <c r="A284" s="20" t="n"/>
      <c r="B284" s="21" t="n"/>
      <c r="C284" s="22">
        <f>IF(A284="","",CHOOSE(WEEKDAY(A284,2),"Mon","Tue","Wed","Thu","Fri","Sat","Sun"))</f>
        <v/>
      </c>
      <c r="D284" s="23" t="n"/>
      <c r="E284" s="23" t="n"/>
      <c r="F284" s="23" t="n"/>
      <c r="G284" s="24" t="n"/>
      <c r="H284" s="24" t="n"/>
      <c r="I284" s="22">
        <f>IF(H284="","",LEN(H284))</f>
        <v/>
      </c>
      <c r="J284" s="25">
        <f>IF(D284="","",IFERROR(INDEX(PlatformLimits,MATCH(D284,PlatformNames,0)),""))</f>
        <v/>
      </c>
      <c r="K284" s="24" t="n"/>
      <c r="L284" s="23" t="n"/>
      <c r="M284" s="23" t="n"/>
      <c r="N284" s="23" t="n"/>
      <c r="O284" s="24" t="n"/>
      <c r="P284" s="22">
        <f>IF(AND(D284=ExportPlatform,N284="Ready",A284&lt;&gt;""),COUNTIFS($D$7:D284,ExportPlatform,$N$7:N284,"Ready",$A$7:A284,"&lt;&gt;"),"")</f>
        <v/>
      </c>
    </row>
    <row r="285">
      <c r="A285" s="20" t="n"/>
      <c r="B285" s="21" t="n"/>
      <c r="C285" s="22">
        <f>IF(A285="","",CHOOSE(WEEKDAY(A285,2),"Mon","Tue","Wed","Thu","Fri","Sat","Sun"))</f>
        <v/>
      </c>
      <c r="D285" s="23" t="n"/>
      <c r="E285" s="23" t="n"/>
      <c r="F285" s="23" t="n"/>
      <c r="G285" s="24" t="n"/>
      <c r="H285" s="24" t="n"/>
      <c r="I285" s="22">
        <f>IF(H285="","",LEN(H285))</f>
        <v/>
      </c>
      <c r="J285" s="25">
        <f>IF(D285="","",IFERROR(INDEX(PlatformLimits,MATCH(D285,PlatformNames,0)),""))</f>
        <v/>
      </c>
      <c r="K285" s="24" t="n"/>
      <c r="L285" s="23" t="n"/>
      <c r="M285" s="23" t="n"/>
      <c r="N285" s="23" t="n"/>
      <c r="O285" s="24" t="n"/>
      <c r="P285" s="22">
        <f>IF(AND(D285=ExportPlatform,N285="Ready",A285&lt;&gt;""),COUNTIFS($D$7:D285,ExportPlatform,$N$7:N285,"Ready",$A$7:A285,"&lt;&gt;"),"")</f>
        <v/>
      </c>
    </row>
    <row r="286">
      <c r="A286" s="20" t="n"/>
      <c r="B286" s="21" t="n"/>
      <c r="C286" s="22">
        <f>IF(A286="","",CHOOSE(WEEKDAY(A286,2),"Mon","Tue","Wed","Thu","Fri","Sat","Sun"))</f>
        <v/>
      </c>
      <c r="D286" s="23" t="n"/>
      <c r="E286" s="23" t="n"/>
      <c r="F286" s="23" t="n"/>
      <c r="G286" s="24" t="n"/>
      <c r="H286" s="24" t="n"/>
      <c r="I286" s="22">
        <f>IF(H286="","",LEN(H286))</f>
        <v/>
      </c>
      <c r="J286" s="25">
        <f>IF(D286="","",IFERROR(INDEX(PlatformLimits,MATCH(D286,PlatformNames,0)),""))</f>
        <v/>
      </c>
      <c r="K286" s="24" t="n"/>
      <c r="L286" s="23" t="n"/>
      <c r="M286" s="23" t="n"/>
      <c r="N286" s="23" t="n"/>
      <c r="O286" s="24" t="n"/>
      <c r="P286" s="22">
        <f>IF(AND(D286=ExportPlatform,N286="Ready",A286&lt;&gt;""),COUNTIFS($D$7:D286,ExportPlatform,$N$7:N286,"Ready",$A$7:A286,"&lt;&gt;"),"")</f>
        <v/>
      </c>
    </row>
    <row r="287">
      <c r="A287" s="20" t="n"/>
      <c r="B287" s="21" t="n"/>
      <c r="C287" s="22">
        <f>IF(A287="","",CHOOSE(WEEKDAY(A287,2),"Mon","Tue","Wed","Thu","Fri","Sat","Sun"))</f>
        <v/>
      </c>
      <c r="D287" s="23" t="n"/>
      <c r="E287" s="23" t="n"/>
      <c r="F287" s="23" t="n"/>
      <c r="G287" s="24" t="n"/>
      <c r="H287" s="24" t="n"/>
      <c r="I287" s="22">
        <f>IF(H287="","",LEN(H287))</f>
        <v/>
      </c>
      <c r="J287" s="25">
        <f>IF(D287="","",IFERROR(INDEX(PlatformLimits,MATCH(D287,PlatformNames,0)),""))</f>
        <v/>
      </c>
      <c r="K287" s="24" t="n"/>
      <c r="L287" s="23" t="n"/>
      <c r="M287" s="23" t="n"/>
      <c r="N287" s="23" t="n"/>
      <c r="O287" s="24" t="n"/>
      <c r="P287" s="22">
        <f>IF(AND(D287=ExportPlatform,N287="Ready",A287&lt;&gt;""),COUNTIFS($D$7:D287,ExportPlatform,$N$7:N287,"Ready",$A$7:A287,"&lt;&gt;"),"")</f>
        <v/>
      </c>
    </row>
    <row r="288">
      <c r="A288" s="20" t="n"/>
      <c r="B288" s="21" t="n"/>
      <c r="C288" s="22">
        <f>IF(A288="","",CHOOSE(WEEKDAY(A288,2),"Mon","Tue","Wed","Thu","Fri","Sat","Sun"))</f>
        <v/>
      </c>
      <c r="D288" s="23" t="n"/>
      <c r="E288" s="23" t="n"/>
      <c r="F288" s="23" t="n"/>
      <c r="G288" s="24" t="n"/>
      <c r="H288" s="24" t="n"/>
      <c r="I288" s="22">
        <f>IF(H288="","",LEN(H288))</f>
        <v/>
      </c>
      <c r="J288" s="25">
        <f>IF(D288="","",IFERROR(INDEX(PlatformLimits,MATCH(D288,PlatformNames,0)),""))</f>
        <v/>
      </c>
      <c r="K288" s="24" t="n"/>
      <c r="L288" s="23" t="n"/>
      <c r="M288" s="23" t="n"/>
      <c r="N288" s="23" t="n"/>
      <c r="O288" s="24" t="n"/>
      <c r="P288" s="22">
        <f>IF(AND(D288=ExportPlatform,N288="Ready",A288&lt;&gt;""),COUNTIFS($D$7:D288,ExportPlatform,$N$7:N288,"Ready",$A$7:A288,"&lt;&gt;"),"")</f>
        <v/>
      </c>
    </row>
    <row r="289">
      <c r="A289" s="20" t="n"/>
      <c r="B289" s="21" t="n"/>
      <c r="C289" s="22">
        <f>IF(A289="","",CHOOSE(WEEKDAY(A289,2),"Mon","Tue","Wed","Thu","Fri","Sat","Sun"))</f>
        <v/>
      </c>
      <c r="D289" s="23" t="n"/>
      <c r="E289" s="23" t="n"/>
      <c r="F289" s="23" t="n"/>
      <c r="G289" s="24" t="n"/>
      <c r="H289" s="24" t="n"/>
      <c r="I289" s="22">
        <f>IF(H289="","",LEN(H289))</f>
        <v/>
      </c>
      <c r="J289" s="25">
        <f>IF(D289="","",IFERROR(INDEX(PlatformLimits,MATCH(D289,PlatformNames,0)),""))</f>
        <v/>
      </c>
      <c r="K289" s="24" t="n"/>
      <c r="L289" s="23" t="n"/>
      <c r="M289" s="23" t="n"/>
      <c r="N289" s="23" t="n"/>
      <c r="O289" s="24" t="n"/>
      <c r="P289" s="22">
        <f>IF(AND(D289=ExportPlatform,N289="Ready",A289&lt;&gt;""),COUNTIFS($D$7:D289,ExportPlatform,$N$7:N289,"Ready",$A$7:A289,"&lt;&gt;"),"")</f>
        <v/>
      </c>
    </row>
    <row r="290">
      <c r="A290" s="20" t="n"/>
      <c r="B290" s="21" t="n"/>
      <c r="C290" s="22">
        <f>IF(A290="","",CHOOSE(WEEKDAY(A290,2),"Mon","Tue","Wed","Thu","Fri","Sat","Sun"))</f>
        <v/>
      </c>
      <c r="D290" s="23" t="n"/>
      <c r="E290" s="23" t="n"/>
      <c r="F290" s="23" t="n"/>
      <c r="G290" s="24" t="n"/>
      <c r="H290" s="24" t="n"/>
      <c r="I290" s="22">
        <f>IF(H290="","",LEN(H290))</f>
        <v/>
      </c>
      <c r="J290" s="25">
        <f>IF(D290="","",IFERROR(INDEX(PlatformLimits,MATCH(D290,PlatformNames,0)),""))</f>
        <v/>
      </c>
      <c r="K290" s="24" t="n"/>
      <c r="L290" s="23" t="n"/>
      <c r="M290" s="23" t="n"/>
      <c r="N290" s="23" t="n"/>
      <c r="O290" s="24" t="n"/>
      <c r="P290" s="22">
        <f>IF(AND(D290=ExportPlatform,N290="Ready",A290&lt;&gt;""),COUNTIFS($D$7:D290,ExportPlatform,$N$7:N290,"Ready",$A$7:A290,"&lt;&gt;"),"")</f>
        <v/>
      </c>
    </row>
    <row r="291">
      <c r="A291" s="20" t="n"/>
      <c r="B291" s="21" t="n"/>
      <c r="C291" s="22">
        <f>IF(A291="","",CHOOSE(WEEKDAY(A291,2),"Mon","Tue","Wed","Thu","Fri","Sat","Sun"))</f>
        <v/>
      </c>
      <c r="D291" s="23" t="n"/>
      <c r="E291" s="23" t="n"/>
      <c r="F291" s="23" t="n"/>
      <c r="G291" s="24" t="n"/>
      <c r="H291" s="24" t="n"/>
      <c r="I291" s="22">
        <f>IF(H291="","",LEN(H291))</f>
        <v/>
      </c>
      <c r="J291" s="25">
        <f>IF(D291="","",IFERROR(INDEX(PlatformLimits,MATCH(D291,PlatformNames,0)),""))</f>
        <v/>
      </c>
      <c r="K291" s="24" t="n"/>
      <c r="L291" s="23" t="n"/>
      <c r="M291" s="23" t="n"/>
      <c r="N291" s="23" t="n"/>
      <c r="O291" s="24" t="n"/>
      <c r="P291" s="22">
        <f>IF(AND(D291=ExportPlatform,N291="Ready",A291&lt;&gt;""),COUNTIFS($D$7:D291,ExportPlatform,$N$7:N291,"Ready",$A$7:A291,"&lt;&gt;"),"")</f>
        <v/>
      </c>
    </row>
    <row r="292">
      <c r="A292" s="20" t="n"/>
      <c r="B292" s="21" t="n"/>
      <c r="C292" s="22">
        <f>IF(A292="","",CHOOSE(WEEKDAY(A292,2),"Mon","Tue","Wed","Thu","Fri","Sat","Sun"))</f>
        <v/>
      </c>
      <c r="D292" s="23" t="n"/>
      <c r="E292" s="23" t="n"/>
      <c r="F292" s="23" t="n"/>
      <c r="G292" s="24" t="n"/>
      <c r="H292" s="24" t="n"/>
      <c r="I292" s="22">
        <f>IF(H292="","",LEN(H292))</f>
        <v/>
      </c>
      <c r="J292" s="25">
        <f>IF(D292="","",IFERROR(INDEX(PlatformLimits,MATCH(D292,PlatformNames,0)),""))</f>
        <v/>
      </c>
      <c r="K292" s="24" t="n"/>
      <c r="L292" s="23" t="n"/>
      <c r="M292" s="23" t="n"/>
      <c r="N292" s="23" t="n"/>
      <c r="O292" s="24" t="n"/>
      <c r="P292" s="22">
        <f>IF(AND(D292=ExportPlatform,N292="Ready",A292&lt;&gt;""),COUNTIFS($D$7:D292,ExportPlatform,$N$7:N292,"Ready",$A$7:A292,"&lt;&gt;"),"")</f>
        <v/>
      </c>
    </row>
    <row r="293">
      <c r="A293" s="20" t="n"/>
      <c r="B293" s="21" t="n"/>
      <c r="C293" s="22">
        <f>IF(A293="","",CHOOSE(WEEKDAY(A293,2),"Mon","Tue","Wed","Thu","Fri","Sat","Sun"))</f>
        <v/>
      </c>
      <c r="D293" s="23" t="n"/>
      <c r="E293" s="23" t="n"/>
      <c r="F293" s="23" t="n"/>
      <c r="G293" s="24" t="n"/>
      <c r="H293" s="24" t="n"/>
      <c r="I293" s="22">
        <f>IF(H293="","",LEN(H293))</f>
        <v/>
      </c>
      <c r="J293" s="25">
        <f>IF(D293="","",IFERROR(INDEX(PlatformLimits,MATCH(D293,PlatformNames,0)),""))</f>
        <v/>
      </c>
      <c r="K293" s="24" t="n"/>
      <c r="L293" s="23" t="n"/>
      <c r="M293" s="23" t="n"/>
      <c r="N293" s="23" t="n"/>
      <c r="O293" s="24" t="n"/>
      <c r="P293" s="22">
        <f>IF(AND(D293=ExportPlatform,N293="Ready",A293&lt;&gt;""),COUNTIFS($D$7:D293,ExportPlatform,$N$7:N293,"Ready",$A$7:A293,"&lt;&gt;"),"")</f>
        <v/>
      </c>
    </row>
    <row r="294">
      <c r="A294" s="20" t="n"/>
      <c r="B294" s="21" t="n"/>
      <c r="C294" s="22">
        <f>IF(A294="","",CHOOSE(WEEKDAY(A294,2),"Mon","Tue","Wed","Thu","Fri","Sat","Sun"))</f>
        <v/>
      </c>
      <c r="D294" s="23" t="n"/>
      <c r="E294" s="23" t="n"/>
      <c r="F294" s="23" t="n"/>
      <c r="G294" s="24" t="n"/>
      <c r="H294" s="24" t="n"/>
      <c r="I294" s="22">
        <f>IF(H294="","",LEN(H294))</f>
        <v/>
      </c>
      <c r="J294" s="25">
        <f>IF(D294="","",IFERROR(INDEX(PlatformLimits,MATCH(D294,PlatformNames,0)),""))</f>
        <v/>
      </c>
      <c r="K294" s="24" t="n"/>
      <c r="L294" s="23" t="n"/>
      <c r="M294" s="23" t="n"/>
      <c r="N294" s="23" t="n"/>
      <c r="O294" s="24" t="n"/>
      <c r="P294" s="22">
        <f>IF(AND(D294=ExportPlatform,N294="Ready",A294&lt;&gt;""),COUNTIFS($D$7:D294,ExportPlatform,$N$7:N294,"Ready",$A$7:A294,"&lt;&gt;"),"")</f>
        <v/>
      </c>
    </row>
    <row r="295">
      <c r="A295" s="20" t="n"/>
      <c r="B295" s="21" t="n"/>
      <c r="C295" s="22">
        <f>IF(A295="","",CHOOSE(WEEKDAY(A295,2),"Mon","Tue","Wed","Thu","Fri","Sat","Sun"))</f>
        <v/>
      </c>
      <c r="D295" s="23" t="n"/>
      <c r="E295" s="23" t="n"/>
      <c r="F295" s="23" t="n"/>
      <c r="G295" s="24" t="n"/>
      <c r="H295" s="24" t="n"/>
      <c r="I295" s="22">
        <f>IF(H295="","",LEN(H295))</f>
        <v/>
      </c>
      <c r="J295" s="25">
        <f>IF(D295="","",IFERROR(INDEX(PlatformLimits,MATCH(D295,PlatformNames,0)),""))</f>
        <v/>
      </c>
      <c r="K295" s="24" t="n"/>
      <c r="L295" s="23" t="n"/>
      <c r="M295" s="23" t="n"/>
      <c r="N295" s="23" t="n"/>
      <c r="O295" s="24" t="n"/>
      <c r="P295" s="22">
        <f>IF(AND(D295=ExportPlatform,N295="Ready",A295&lt;&gt;""),COUNTIFS($D$7:D295,ExportPlatform,$N$7:N295,"Ready",$A$7:A295,"&lt;&gt;"),"")</f>
        <v/>
      </c>
    </row>
    <row r="296">
      <c r="A296" s="20" t="n"/>
      <c r="B296" s="21" t="n"/>
      <c r="C296" s="22">
        <f>IF(A296="","",CHOOSE(WEEKDAY(A296,2),"Mon","Tue","Wed","Thu","Fri","Sat","Sun"))</f>
        <v/>
      </c>
      <c r="D296" s="23" t="n"/>
      <c r="E296" s="23" t="n"/>
      <c r="F296" s="23" t="n"/>
      <c r="G296" s="24" t="n"/>
      <c r="H296" s="24" t="n"/>
      <c r="I296" s="22">
        <f>IF(H296="","",LEN(H296))</f>
        <v/>
      </c>
      <c r="J296" s="25">
        <f>IF(D296="","",IFERROR(INDEX(PlatformLimits,MATCH(D296,PlatformNames,0)),""))</f>
        <v/>
      </c>
      <c r="K296" s="24" t="n"/>
      <c r="L296" s="23" t="n"/>
      <c r="M296" s="23" t="n"/>
      <c r="N296" s="23" t="n"/>
      <c r="O296" s="24" t="n"/>
      <c r="P296" s="22">
        <f>IF(AND(D296=ExportPlatform,N296="Ready",A296&lt;&gt;""),COUNTIFS($D$7:D296,ExportPlatform,$N$7:N296,"Ready",$A$7:A296,"&lt;&gt;"),"")</f>
        <v/>
      </c>
    </row>
    <row r="297">
      <c r="A297" s="20" t="n"/>
      <c r="B297" s="21" t="n"/>
      <c r="C297" s="22">
        <f>IF(A297="","",CHOOSE(WEEKDAY(A297,2),"Mon","Tue","Wed","Thu","Fri","Sat","Sun"))</f>
        <v/>
      </c>
      <c r="D297" s="23" t="n"/>
      <c r="E297" s="23" t="n"/>
      <c r="F297" s="23" t="n"/>
      <c r="G297" s="24" t="n"/>
      <c r="H297" s="24" t="n"/>
      <c r="I297" s="22">
        <f>IF(H297="","",LEN(H297))</f>
        <v/>
      </c>
      <c r="J297" s="25">
        <f>IF(D297="","",IFERROR(INDEX(PlatformLimits,MATCH(D297,PlatformNames,0)),""))</f>
        <v/>
      </c>
      <c r="K297" s="24" t="n"/>
      <c r="L297" s="23" t="n"/>
      <c r="M297" s="23" t="n"/>
      <c r="N297" s="23" t="n"/>
      <c r="O297" s="24" t="n"/>
      <c r="P297" s="22">
        <f>IF(AND(D297=ExportPlatform,N297="Ready",A297&lt;&gt;""),COUNTIFS($D$7:D297,ExportPlatform,$N$7:N297,"Ready",$A$7:A297,"&lt;&gt;"),"")</f>
        <v/>
      </c>
    </row>
    <row r="298">
      <c r="A298" s="20" t="n"/>
      <c r="B298" s="21" t="n"/>
      <c r="C298" s="22">
        <f>IF(A298="","",CHOOSE(WEEKDAY(A298,2),"Mon","Tue","Wed","Thu","Fri","Sat","Sun"))</f>
        <v/>
      </c>
      <c r="D298" s="23" t="n"/>
      <c r="E298" s="23" t="n"/>
      <c r="F298" s="23" t="n"/>
      <c r="G298" s="24" t="n"/>
      <c r="H298" s="24" t="n"/>
      <c r="I298" s="22">
        <f>IF(H298="","",LEN(H298))</f>
        <v/>
      </c>
      <c r="J298" s="25">
        <f>IF(D298="","",IFERROR(INDEX(PlatformLimits,MATCH(D298,PlatformNames,0)),""))</f>
        <v/>
      </c>
      <c r="K298" s="24" t="n"/>
      <c r="L298" s="23" t="n"/>
      <c r="M298" s="23" t="n"/>
      <c r="N298" s="23" t="n"/>
      <c r="O298" s="24" t="n"/>
      <c r="P298" s="22">
        <f>IF(AND(D298=ExportPlatform,N298="Ready",A298&lt;&gt;""),COUNTIFS($D$7:D298,ExportPlatform,$N$7:N298,"Ready",$A$7:A298,"&lt;&gt;"),"")</f>
        <v/>
      </c>
    </row>
    <row r="299">
      <c r="A299" s="20" t="n"/>
      <c r="B299" s="21" t="n"/>
      <c r="C299" s="22">
        <f>IF(A299="","",CHOOSE(WEEKDAY(A299,2),"Mon","Tue","Wed","Thu","Fri","Sat","Sun"))</f>
        <v/>
      </c>
      <c r="D299" s="23" t="n"/>
      <c r="E299" s="23" t="n"/>
      <c r="F299" s="23" t="n"/>
      <c r="G299" s="24" t="n"/>
      <c r="H299" s="24" t="n"/>
      <c r="I299" s="22">
        <f>IF(H299="","",LEN(H299))</f>
        <v/>
      </c>
      <c r="J299" s="25">
        <f>IF(D299="","",IFERROR(INDEX(PlatformLimits,MATCH(D299,PlatformNames,0)),""))</f>
        <v/>
      </c>
      <c r="K299" s="24" t="n"/>
      <c r="L299" s="23" t="n"/>
      <c r="M299" s="23" t="n"/>
      <c r="N299" s="23" t="n"/>
      <c r="O299" s="24" t="n"/>
      <c r="P299" s="22">
        <f>IF(AND(D299=ExportPlatform,N299="Ready",A299&lt;&gt;""),COUNTIFS($D$7:D299,ExportPlatform,$N$7:N299,"Ready",$A$7:A299,"&lt;&gt;"),"")</f>
        <v/>
      </c>
    </row>
    <row r="300">
      <c r="A300" s="20" t="n"/>
      <c r="B300" s="21" t="n"/>
      <c r="C300" s="22">
        <f>IF(A300="","",CHOOSE(WEEKDAY(A300,2),"Mon","Tue","Wed","Thu","Fri","Sat","Sun"))</f>
        <v/>
      </c>
      <c r="D300" s="23" t="n"/>
      <c r="E300" s="23" t="n"/>
      <c r="F300" s="23" t="n"/>
      <c r="G300" s="24" t="n"/>
      <c r="H300" s="24" t="n"/>
      <c r="I300" s="22">
        <f>IF(H300="","",LEN(H300))</f>
        <v/>
      </c>
      <c r="J300" s="25">
        <f>IF(D300="","",IFERROR(INDEX(PlatformLimits,MATCH(D300,PlatformNames,0)),""))</f>
        <v/>
      </c>
      <c r="K300" s="24" t="n"/>
      <c r="L300" s="23" t="n"/>
      <c r="M300" s="23" t="n"/>
      <c r="N300" s="23" t="n"/>
      <c r="O300" s="24" t="n"/>
      <c r="P300" s="22">
        <f>IF(AND(D300=ExportPlatform,N300="Ready",A300&lt;&gt;""),COUNTIFS($D$7:D300,ExportPlatform,$N$7:N300,"Ready",$A$7:A300,"&lt;&gt;"),"")</f>
        <v/>
      </c>
    </row>
    <row r="301">
      <c r="A301" s="20" t="n"/>
      <c r="B301" s="21" t="n"/>
      <c r="C301" s="22">
        <f>IF(A301="","",CHOOSE(WEEKDAY(A301,2),"Mon","Tue","Wed","Thu","Fri","Sat","Sun"))</f>
        <v/>
      </c>
      <c r="D301" s="23" t="n"/>
      <c r="E301" s="23" t="n"/>
      <c r="F301" s="23" t="n"/>
      <c r="G301" s="24" t="n"/>
      <c r="H301" s="24" t="n"/>
      <c r="I301" s="22">
        <f>IF(H301="","",LEN(H301))</f>
        <v/>
      </c>
      <c r="J301" s="25">
        <f>IF(D301="","",IFERROR(INDEX(PlatformLimits,MATCH(D301,PlatformNames,0)),""))</f>
        <v/>
      </c>
      <c r="K301" s="24" t="n"/>
      <c r="L301" s="23" t="n"/>
      <c r="M301" s="23" t="n"/>
      <c r="N301" s="23" t="n"/>
      <c r="O301" s="24" t="n"/>
      <c r="P301" s="22">
        <f>IF(AND(D301=ExportPlatform,N301="Ready",A301&lt;&gt;""),COUNTIFS($D$7:D301,ExportPlatform,$N$7:N301,"Ready",$A$7:A301,"&lt;&gt;"),"")</f>
        <v/>
      </c>
    </row>
    <row r="302">
      <c r="A302" s="20" t="n"/>
      <c r="B302" s="21" t="n"/>
      <c r="C302" s="22">
        <f>IF(A302="","",CHOOSE(WEEKDAY(A302,2),"Mon","Tue","Wed","Thu","Fri","Sat","Sun"))</f>
        <v/>
      </c>
      <c r="D302" s="23" t="n"/>
      <c r="E302" s="23" t="n"/>
      <c r="F302" s="23" t="n"/>
      <c r="G302" s="24" t="n"/>
      <c r="H302" s="24" t="n"/>
      <c r="I302" s="22">
        <f>IF(H302="","",LEN(H302))</f>
        <v/>
      </c>
      <c r="J302" s="25">
        <f>IF(D302="","",IFERROR(INDEX(PlatformLimits,MATCH(D302,PlatformNames,0)),""))</f>
        <v/>
      </c>
      <c r="K302" s="24" t="n"/>
      <c r="L302" s="23" t="n"/>
      <c r="M302" s="23" t="n"/>
      <c r="N302" s="23" t="n"/>
      <c r="O302" s="24" t="n"/>
      <c r="P302" s="22">
        <f>IF(AND(D302=ExportPlatform,N302="Ready",A302&lt;&gt;""),COUNTIFS($D$7:D302,ExportPlatform,$N$7:N302,"Ready",$A$7:A302,"&lt;&gt;"),"")</f>
        <v/>
      </c>
    </row>
    <row r="303">
      <c r="A303" s="20" t="n"/>
      <c r="B303" s="21" t="n"/>
      <c r="C303" s="22">
        <f>IF(A303="","",CHOOSE(WEEKDAY(A303,2),"Mon","Tue","Wed","Thu","Fri","Sat","Sun"))</f>
        <v/>
      </c>
      <c r="D303" s="23" t="n"/>
      <c r="E303" s="23" t="n"/>
      <c r="F303" s="23" t="n"/>
      <c r="G303" s="24" t="n"/>
      <c r="H303" s="24" t="n"/>
      <c r="I303" s="22">
        <f>IF(H303="","",LEN(H303))</f>
        <v/>
      </c>
      <c r="J303" s="25">
        <f>IF(D303="","",IFERROR(INDEX(PlatformLimits,MATCH(D303,PlatformNames,0)),""))</f>
        <v/>
      </c>
      <c r="K303" s="24" t="n"/>
      <c r="L303" s="23" t="n"/>
      <c r="M303" s="23" t="n"/>
      <c r="N303" s="23" t="n"/>
      <c r="O303" s="24" t="n"/>
      <c r="P303" s="22">
        <f>IF(AND(D303=ExportPlatform,N303="Ready",A303&lt;&gt;""),COUNTIFS($D$7:D303,ExportPlatform,$N$7:N303,"Ready",$A$7:A303,"&lt;&gt;"),"")</f>
        <v/>
      </c>
    </row>
    <row r="304">
      <c r="A304" s="20" t="n"/>
      <c r="B304" s="21" t="n"/>
      <c r="C304" s="22">
        <f>IF(A304="","",CHOOSE(WEEKDAY(A304,2),"Mon","Tue","Wed","Thu","Fri","Sat","Sun"))</f>
        <v/>
      </c>
      <c r="D304" s="23" t="n"/>
      <c r="E304" s="23" t="n"/>
      <c r="F304" s="23" t="n"/>
      <c r="G304" s="24" t="n"/>
      <c r="H304" s="24" t="n"/>
      <c r="I304" s="22">
        <f>IF(H304="","",LEN(H304))</f>
        <v/>
      </c>
      <c r="J304" s="25">
        <f>IF(D304="","",IFERROR(INDEX(PlatformLimits,MATCH(D304,PlatformNames,0)),""))</f>
        <v/>
      </c>
      <c r="K304" s="24" t="n"/>
      <c r="L304" s="23" t="n"/>
      <c r="M304" s="23" t="n"/>
      <c r="N304" s="23" t="n"/>
      <c r="O304" s="24" t="n"/>
      <c r="P304" s="22">
        <f>IF(AND(D304=ExportPlatform,N304="Ready",A304&lt;&gt;""),COUNTIFS($D$7:D304,ExportPlatform,$N$7:N304,"Ready",$A$7:A304,"&lt;&gt;"),"")</f>
        <v/>
      </c>
    </row>
    <row r="305">
      <c r="A305" s="20" t="n"/>
      <c r="B305" s="21" t="n"/>
      <c r="C305" s="22">
        <f>IF(A305="","",CHOOSE(WEEKDAY(A305,2),"Mon","Tue","Wed","Thu","Fri","Sat","Sun"))</f>
        <v/>
      </c>
      <c r="D305" s="23" t="n"/>
      <c r="E305" s="23" t="n"/>
      <c r="F305" s="23" t="n"/>
      <c r="G305" s="24" t="n"/>
      <c r="H305" s="24" t="n"/>
      <c r="I305" s="22">
        <f>IF(H305="","",LEN(H305))</f>
        <v/>
      </c>
      <c r="J305" s="25">
        <f>IF(D305="","",IFERROR(INDEX(PlatformLimits,MATCH(D305,PlatformNames,0)),""))</f>
        <v/>
      </c>
      <c r="K305" s="24" t="n"/>
      <c r="L305" s="23" t="n"/>
      <c r="M305" s="23" t="n"/>
      <c r="N305" s="23" t="n"/>
      <c r="O305" s="24" t="n"/>
      <c r="P305" s="22">
        <f>IF(AND(D305=ExportPlatform,N305="Ready",A305&lt;&gt;""),COUNTIFS($D$7:D305,ExportPlatform,$N$7:N305,"Ready",$A$7:A305,"&lt;&gt;"),"")</f>
        <v/>
      </c>
    </row>
    <row r="306">
      <c r="A306" s="20" t="n"/>
      <c r="B306" s="21" t="n"/>
      <c r="C306" s="22">
        <f>IF(A306="","",CHOOSE(WEEKDAY(A306,2),"Mon","Tue","Wed","Thu","Fri","Sat","Sun"))</f>
        <v/>
      </c>
      <c r="D306" s="23" t="n"/>
      <c r="E306" s="23" t="n"/>
      <c r="F306" s="23" t="n"/>
      <c r="G306" s="24" t="n"/>
      <c r="H306" s="24" t="n"/>
      <c r="I306" s="22">
        <f>IF(H306="","",LEN(H306))</f>
        <v/>
      </c>
      <c r="J306" s="25">
        <f>IF(D306="","",IFERROR(INDEX(PlatformLimits,MATCH(D306,PlatformNames,0)),""))</f>
        <v/>
      </c>
      <c r="K306" s="24" t="n"/>
      <c r="L306" s="23" t="n"/>
      <c r="M306" s="23" t="n"/>
      <c r="N306" s="23" t="n"/>
      <c r="O306" s="24" t="n"/>
      <c r="P306" s="22">
        <f>IF(AND(D306=ExportPlatform,N306="Ready",A306&lt;&gt;""),COUNTIFS($D$7:D306,ExportPlatform,$N$7:N306,"Ready",$A$7:A306,"&lt;&gt;"),"")</f>
        <v/>
      </c>
    </row>
    <row r="307">
      <c r="A307" s="20" t="n"/>
      <c r="B307" s="21" t="n"/>
      <c r="C307" s="22">
        <f>IF(A307="","",CHOOSE(WEEKDAY(A307,2),"Mon","Tue","Wed","Thu","Fri","Sat","Sun"))</f>
        <v/>
      </c>
      <c r="D307" s="23" t="n"/>
      <c r="E307" s="23" t="n"/>
      <c r="F307" s="23" t="n"/>
      <c r="G307" s="24" t="n"/>
      <c r="H307" s="24" t="n"/>
      <c r="I307" s="22">
        <f>IF(H307="","",LEN(H307))</f>
        <v/>
      </c>
      <c r="J307" s="25">
        <f>IF(D307="","",IFERROR(INDEX(PlatformLimits,MATCH(D307,PlatformNames,0)),""))</f>
        <v/>
      </c>
      <c r="K307" s="24" t="n"/>
      <c r="L307" s="23" t="n"/>
      <c r="M307" s="23" t="n"/>
      <c r="N307" s="23" t="n"/>
      <c r="O307" s="24" t="n"/>
      <c r="P307" s="22">
        <f>IF(AND(D307=ExportPlatform,N307="Ready",A307&lt;&gt;""),COUNTIFS($D$7:D307,ExportPlatform,$N$7:N307,"Ready",$A$7:A307,"&lt;&gt;"),"")</f>
        <v/>
      </c>
    </row>
    <row r="308">
      <c r="A308" s="20" t="n"/>
      <c r="B308" s="21" t="n"/>
      <c r="C308" s="22">
        <f>IF(A308="","",CHOOSE(WEEKDAY(A308,2),"Mon","Tue","Wed","Thu","Fri","Sat","Sun"))</f>
        <v/>
      </c>
      <c r="D308" s="23" t="n"/>
      <c r="E308" s="23" t="n"/>
      <c r="F308" s="23" t="n"/>
      <c r="G308" s="24" t="n"/>
      <c r="H308" s="24" t="n"/>
      <c r="I308" s="22">
        <f>IF(H308="","",LEN(H308))</f>
        <v/>
      </c>
      <c r="J308" s="25">
        <f>IF(D308="","",IFERROR(INDEX(PlatformLimits,MATCH(D308,PlatformNames,0)),""))</f>
        <v/>
      </c>
      <c r="K308" s="24" t="n"/>
      <c r="L308" s="23" t="n"/>
      <c r="M308" s="23" t="n"/>
      <c r="N308" s="23" t="n"/>
      <c r="O308" s="24" t="n"/>
      <c r="P308" s="22">
        <f>IF(AND(D308=ExportPlatform,N308="Ready",A308&lt;&gt;""),COUNTIFS($D$7:D308,ExportPlatform,$N$7:N308,"Ready",$A$7:A308,"&lt;&gt;"),"")</f>
        <v/>
      </c>
    </row>
    <row r="309">
      <c r="A309" s="20" t="n"/>
      <c r="B309" s="21" t="n"/>
      <c r="C309" s="22">
        <f>IF(A309="","",CHOOSE(WEEKDAY(A309,2),"Mon","Tue","Wed","Thu","Fri","Sat","Sun"))</f>
        <v/>
      </c>
      <c r="D309" s="23" t="n"/>
      <c r="E309" s="23" t="n"/>
      <c r="F309" s="23" t="n"/>
      <c r="G309" s="24" t="n"/>
      <c r="H309" s="24" t="n"/>
      <c r="I309" s="22">
        <f>IF(H309="","",LEN(H309))</f>
        <v/>
      </c>
      <c r="J309" s="25">
        <f>IF(D309="","",IFERROR(INDEX(PlatformLimits,MATCH(D309,PlatformNames,0)),""))</f>
        <v/>
      </c>
      <c r="K309" s="24" t="n"/>
      <c r="L309" s="23" t="n"/>
      <c r="M309" s="23" t="n"/>
      <c r="N309" s="23" t="n"/>
      <c r="O309" s="24" t="n"/>
      <c r="P309" s="22">
        <f>IF(AND(D309=ExportPlatform,N309="Ready",A309&lt;&gt;""),COUNTIFS($D$7:D309,ExportPlatform,$N$7:N309,"Ready",$A$7:A309,"&lt;&gt;"),"")</f>
        <v/>
      </c>
    </row>
    <row r="310">
      <c r="A310" s="20" t="n"/>
      <c r="B310" s="21" t="n"/>
      <c r="C310" s="22">
        <f>IF(A310="","",CHOOSE(WEEKDAY(A310,2),"Mon","Tue","Wed","Thu","Fri","Sat","Sun"))</f>
        <v/>
      </c>
      <c r="D310" s="23" t="n"/>
      <c r="E310" s="23" t="n"/>
      <c r="F310" s="23" t="n"/>
      <c r="G310" s="24" t="n"/>
      <c r="H310" s="24" t="n"/>
      <c r="I310" s="22">
        <f>IF(H310="","",LEN(H310))</f>
        <v/>
      </c>
      <c r="J310" s="25">
        <f>IF(D310="","",IFERROR(INDEX(PlatformLimits,MATCH(D310,PlatformNames,0)),""))</f>
        <v/>
      </c>
      <c r="K310" s="24" t="n"/>
      <c r="L310" s="23" t="n"/>
      <c r="M310" s="23" t="n"/>
      <c r="N310" s="23" t="n"/>
      <c r="O310" s="24" t="n"/>
      <c r="P310" s="22">
        <f>IF(AND(D310=ExportPlatform,N310="Ready",A310&lt;&gt;""),COUNTIFS($D$7:D310,ExportPlatform,$N$7:N310,"Ready",$A$7:A310,"&lt;&gt;"),"")</f>
        <v/>
      </c>
    </row>
    <row r="311">
      <c r="A311" s="20" t="n"/>
      <c r="B311" s="21" t="n"/>
      <c r="C311" s="22">
        <f>IF(A311="","",CHOOSE(WEEKDAY(A311,2),"Mon","Tue","Wed","Thu","Fri","Sat","Sun"))</f>
        <v/>
      </c>
      <c r="D311" s="23" t="n"/>
      <c r="E311" s="23" t="n"/>
      <c r="F311" s="23" t="n"/>
      <c r="G311" s="24" t="n"/>
      <c r="H311" s="24" t="n"/>
      <c r="I311" s="22">
        <f>IF(H311="","",LEN(H311))</f>
        <v/>
      </c>
      <c r="J311" s="25">
        <f>IF(D311="","",IFERROR(INDEX(PlatformLimits,MATCH(D311,PlatformNames,0)),""))</f>
        <v/>
      </c>
      <c r="K311" s="24" t="n"/>
      <c r="L311" s="23" t="n"/>
      <c r="M311" s="23" t="n"/>
      <c r="N311" s="23" t="n"/>
      <c r="O311" s="24" t="n"/>
      <c r="P311" s="22">
        <f>IF(AND(D311=ExportPlatform,N311="Ready",A311&lt;&gt;""),COUNTIFS($D$7:D311,ExportPlatform,$N$7:N311,"Ready",$A$7:A311,"&lt;&gt;"),"")</f>
        <v/>
      </c>
    </row>
    <row r="312">
      <c r="A312" s="20" t="n"/>
      <c r="B312" s="21" t="n"/>
      <c r="C312" s="22">
        <f>IF(A312="","",CHOOSE(WEEKDAY(A312,2),"Mon","Tue","Wed","Thu","Fri","Sat","Sun"))</f>
        <v/>
      </c>
      <c r="D312" s="23" t="n"/>
      <c r="E312" s="23" t="n"/>
      <c r="F312" s="23" t="n"/>
      <c r="G312" s="24" t="n"/>
      <c r="H312" s="24" t="n"/>
      <c r="I312" s="22">
        <f>IF(H312="","",LEN(H312))</f>
        <v/>
      </c>
      <c r="J312" s="25">
        <f>IF(D312="","",IFERROR(INDEX(PlatformLimits,MATCH(D312,PlatformNames,0)),""))</f>
        <v/>
      </c>
      <c r="K312" s="24" t="n"/>
      <c r="L312" s="23" t="n"/>
      <c r="M312" s="23" t="n"/>
      <c r="N312" s="23" t="n"/>
      <c r="O312" s="24" t="n"/>
      <c r="P312" s="22">
        <f>IF(AND(D312=ExportPlatform,N312="Ready",A312&lt;&gt;""),COUNTIFS($D$7:D312,ExportPlatform,$N$7:N312,"Ready",$A$7:A312,"&lt;&gt;"),"")</f>
        <v/>
      </c>
    </row>
    <row r="313">
      <c r="A313" s="20" t="n"/>
      <c r="B313" s="21" t="n"/>
      <c r="C313" s="22">
        <f>IF(A313="","",CHOOSE(WEEKDAY(A313,2),"Mon","Tue","Wed","Thu","Fri","Sat","Sun"))</f>
        <v/>
      </c>
      <c r="D313" s="23" t="n"/>
      <c r="E313" s="23" t="n"/>
      <c r="F313" s="23" t="n"/>
      <c r="G313" s="24" t="n"/>
      <c r="H313" s="24" t="n"/>
      <c r="I313" s="22">
        <f>IF(H313="","",LEN(H313))</f>
        <v/>
      </c>
      <c r="J313" s="25">
        <f>IF(D313="","",IFERROR(INDEX(PlatformLimits,MATCH(D313,PlatformNames,0)),""))</f>
        <v/>
      </c>
      <c r="K313" s="24" t="n"/>
      <c r="L313" s="23" t="n"/>
      <c r="M313" s="23" t="n"/>
      <c r="N313" s="23" t="n"/>
      <c r="O313" s="24" t="n"/>
      <c r="P313" s="22">
        <f>IF(AND(D313=ExportPlatform,N313="Ready",A313&lt;&gt;""),COUNTIFS($D$7:D313,ExportPlatform,$N$7:N313,"Ready",$A$7:A313,"&lt;&gt;"),"")</f>
        <v/>
      </c>
    </row>
    <row r="314">
      <c r="A314" s="20" t="n"/>
      <c r="B314" s="21" t="n"/>
      <c r="C314" s="22">
        <f>IF(A314="","",CHOOSE(WEEKDAY(A314,2),"Mon","Tue","Wed","Thu","Fri","Sat","Sun"))</f>
        <v/>
      </c>
      <c r="D314" s="23" t="n"/>
      <c r="E314" s="23" t="n"/>
      <c r="F314" s="23" t="n"/>
      <c r="G314" s="24" t="n"/>
      <c r="H314" s="24" t="n"/>
      <c r="I314" s="22">
        <f>IF(H314="","",LEN(H314))</f>
        <v/>
      </c>
      <c r="J314" s="25">
        <f>IF(D314="","",IFERROR(INDEX(PlatformLimits,MATCH(D314,PlatformNames,0)),""))</f>
        <v/>
      </c>
      <c r="K314" s="24" t="n"/>
      <c r="L314" s="23" t="n"/>
      <c r="M314" s="23" t="n"/>
      <c r="N314" s="23" t="n"/>
      <c r="O314" s="24" t="n"/>
      <c r="P314" s="22">
        <f>IF(AND(D314=ExportPlatform,N314="Ready",A314&lt;&gt;""),COUNTIFS($D$7:D314,ExportPlatform,$N$7:N314,"Ready",$A$7:A314,"&lt;&gt;"),"")</f>
        <v/>
      </c>
    </row>
    <row r="315">
      <c r="A315" s="20" t="n"/>
      <c r="B315" s="21" t="n"/>
      <c r="C315" s="22">
        <f>IF(A315="","",CHOOSE(WEEKDAY(A315,2),"Mon","Tue","Wed","Thu","Fri","Sat","Sun"))</f>
        <v/>
      </c>
      <c r="D315" s="23" t="n"/>
      <c r="E315" s="23" t="n"/>
      <c r="F315" s="23" t="n"/>
      <c r="G315" s="24" t="n"/>
      <c r="H315" s="24" t="n"/>
      <c r="I315" s="22">
        <f>IF(H315="","",LEN(H315))</f>
        <v/>
      </c>
      <c r="J315" s="25">
        <f>IF(D315="","",IFERROR(INDEX(PlatformLimits,MATCH(D315,PlatformNames,0)),""))</f>
        <v/>
      </c>
      <c r="K315" s="24" t="n"/>
      <c r="L315" s="23" t="n"/>
      <c r="M315" s="23" t="n"/>
      <c r="N315" s="23" t="n"/>
      <c r="O315" s="24" t="n"/>
      <c r="P315" s="22">
        <f>IF(AND(D315=ExportPlatform,N315="Ready",A315&lt;&gt;""),COUNTIFS($D$7:D315,ExportPlatform,$N$7:N315,"Ready",$A$7:A315,"&lt;&gt;"),"")</f>
        <v/>
      </c>
    </row>
    <row r="316">
      <c r="A316" s="20" t="n"/>
      <c r="B316" s="21" t="n"/>
      <c r="C316" s="22">
        <f>IF(A316="","",CHOOSE(WEEKDAY(A316,2),"Mon","Tue","Wed","Thu","Fri","Sat","Sun"))</f>
        <v/>
      </c>
      <c r="D316" s="23" t="n"/>
      <c r="E316" s="23" t="n"/>
      <c r="F316" s="23" t="n"/>
      <c r="G316" s="24" t="n"/>
      <c r="H316" s="24" t="n"/>
      <c r="I316" s="22">
        <f>IF(H316="","",LEN(H316))</f>
        <v/>
      </c>
      <c r="J316" s="25">
        <f>IF(D316="","",IFERROR(INDEX(PlatformLimits,MATCH(D316,PlatformNames,0)),""))</f>
        <v/>
      </c>
      <c r="K316" s="24" t="n"/>
      <c r="L316" s="23" t="n"/>
      <c r="M316" s="23" t="n"/>
      <c r="N316" s="23" t="n"/>
      <c r="O316" s="24" t="n"/>
      <c r="P316" s="22">
        <f>IF(AND(D316=ExportPlatform,N316="Ready",A316&lt;&gt;""),COUNTIFS($D$7:D316,ExportPlatform,$N$7:N316,"Ready",$A$7:A316,"&lt;&gt;"),"")</f>
        <v/>
      </c>
    </row>
    <row r="317">
      <c r="A317" s="20" t="n"/>
      <c r="B317" s="21" t="n"/>
      <c r="C317" s="22">
        <f>IF(A317="","",CHOOSE(WEEKDAY(A317,2),"Mon","Tue","Wed","Thu","Fri","Sat","Sun"))</f>
        <v/>
      </c>
      <c r="D317" s="23" t="n"/>
      <c r="E317" s="23" t="n"/>
      <c r="F317" s="23" t="n"/>
      <c r="G317" s="24" t="n"/>
      <c r="H317" s="24" t="n"/>
      <c r="I317" s="22">
        <f>IF(H317="","",LEN(H317))</f>
        <v/>
      </c>
      <c r="J317" s="25">
        <f>IF(D317="","",IFERROR(INDEX(PlatformLimits,MATCH(D317,PlatformNames,0)),""))</f>
        <v/>
      </c>
      <c r="K317" s="24" t="n"/>
      <c r="L317" s="23" t="n"/>
      <c r="M317" s="23" t="n"/>
      <c r="N317" s="23" t="n"/>
      <c r="O317" s="24" t="n"/>
      <c r="P317" s="22">
        <f>IF(AND(D317=ExportPlatform,N317="Ready",A317&lt;&gt;""),COUNTIFS($D$7:D317,ExportPlatform,$N$7:N317,"Ready",$A$7:A317,"&lt;&gt;"),"")</f>
        <v/>
      </c>
    </row>
    <row r="318">
      <c r="A318" s="20" t="n"/>
      <c r="B318" s="21" t="n"/>
      <c r="C318" s="22">
        <f>IF(A318="","",CHOOSE(WEEKDAY(A318,2),"Mon","Tue","Wed","Thu","Fri","Sat","Sun"))</f>
        <v/>
      </c>
      <c r="D318" s="23" t="n"/>
      <c r="E318" s="23" t="n"/>
      <c r="F318" s="23" t="n"/>
      <c r="G318" s="24" t="n"/>
      <c r="H318" s="24" t="n"/>
      <c r="I318" s="22">
        <f>IF(H318="","",LEN(H318))</f>
        <v/>
      </c>
      <c r="J318" s="25">
        <f>IF(D318="","",IFERROR(INDEX(PlatformLimits,MATCH(D318,PlatformNames,0)),""))</f>
        <v/>
      </c>
      <c r="K318" s="24" t="n"/>
      <c r="L318" s="23" t="n"/>
      <c r="M318" s="23" t="n"/>
      <c r="N318" s="23" t="n"/>
      <c r="O318" s="24" t="n"/>
      <c r="P318" s="22">
        <f>IF(AND(D318=ExportPlatform,N318="Ready",A318&lt;&gt;""),COUNTIFS($D$7:D318,ExportPlatform,$N$7:N318,"Ready",$A$7:A318,"&lt;&gt;"),"")</f>
        <v/>
      </c>
    </row>
    <row r="319">
      <c r="A319" s="20" t="n"/>
      <c r="B319" s="21" t="n"/>
      <c r="C319" s="22">
        <f>IF(A319="","",CHOOSE(WEEKDAY(A319,2),"Mon","Tue","Wed","Thu","Fri","Sat","Sun"))</f>
        <v/>
      </c>
      <c r="D319" s="23" t="n"/>
      <c r="E319" s="23" t="n"/>
      <c r="F319" s="23" t="n"/>
      <c r="G319" s="24" t="n"/>
      <c r="H319" s="24" t="n"/>
      <c r="I319" s="22">
        <f>IF(H319="","",LEN(H319))</f>
        <v/>
      </c>
      <c r="J319" s="25">
        <f>IF(D319="","",IFERROR(INDEX(PlatformLimits,MATCH(D319,PlatformNames,0)),""))</f>
        <v/>
      </c>
      <c r="K319" s="24" t="n"/>
      <c r="L319" s="23" t="n"/>
      <c r="M319" s="23" t="n"/>
      <c r="N319" s="23" t="n"/>
      <c r="O319" s="24" t="n"/>
      <c r="P319" s="22">
        <f>IF(AND(D319=ExportPlatform,N319="Ready",A319&lt;&gt;""),COUNTIFS($D$7:D319,ExportPlatform,$N$7:N319,"Ready",$A$7:A319,"&lt;&gt;"),"")</f>
        <v/>
      </c>
    </row>
    <row r="320">
      <c r="A320" s="20" t="n"/>
      <c r="B320" s="21" t="n"/>
      <c r="C320" s="22">
        <f>IF(A320="","",CHOOSE(WEEKDAY(A320,2),"Mon","Tue","Wed","Thu","Fri","Sat","Sun"))</f>
        <v/>
      </c>
      <c r="D320" s="23" t="n"/>
      <c r="E320" s="23" t="n"/>
      <c r="F320" s="23" t="n"/>
      <c r="G320" s="24" t="n"/>
      <c r="H320" s="24" t="n"/>
      <c r="I320" s="22">
        <f>IF(H320="","",LEN(H320))</f>
        <v/>
      </c>
      <c r="J320" s="25">
        <f>IF(D320="","",IFERROR(INDEX(PlatformLimits,MATCH(D320,PlatformNames,0)),""))</f>
        <v/>
      </c>
      <c r="K320" s="24" t="n"/>
      <c r="L320" s="23" t="n"/>
      <c r="M320" s="23" t="n"/>
      <c r="N320" s="23" t="n"/>
      <c r="O320" s="24" t="n"/>
      <c r="P320" s="22">
        <f>IF(AND(D320=ExportPlatform,N320="Ready",A320&lt;&gt;""),COUNTIFS($D$7:D320,ExportPlatform,$N$7:N320,"Ready",$A$7:A320,"&lt;&gt;"),"")</f>
        <v/>
      </c>
    </row>
    <row r="321">
      <c r="A321" s="20" t="n"/>
      <c r="B321" s="21" t="n"/>
      <c r="C321" s="22">
        <f>IF(A321="","",CHOOSE(WEEKDAY(A321,2),"Mon","Tue","Wed","Thu","Fri","Sat","Sun"))</f>
        <v/>
      </c>
      <c r="D321" s="23" t="n"/>
      <c r="E321" s="23" t="n"/>
      <c r="F321" s="23" t="n"/>
      <c r="G321" s="24" t="n"/>
      <c r="H321" s="24" t="n"/>
      <c r="I321" s="22">
        <f>IF(H321="","",LEN(H321))</f>
        <v/>
      </c>
      <c r="J321" s="25">
        <f>IF(D321="","",IFERROR(INDEX(PlatformLimits,MATCH(D321,PlatformNames,0)),""))</f>
        <v/>
      </c>
      <c r="K321" s="24" t="n"/>
      <c r="L321" s="23" t="n"/>
      <c r="M321" s="23" t="n"/>
      <c r="N321" s="23" t="n"/>
      <c r="O321" s="24" t="n"/>
      <c r="P321" s="22">
        <f>IF(AND(D321=ExportPlatform,N321="Ready",A321&lt;&gt;""),COUNTIFS($D$7:D321,ExportPlatform,$N$7:N321,"Ready",$A$7:A321,"&lt;&gt;"),"")</f>
        <v/>
      </c>
    </row>
    <row r="322">
      <c r="A322" s="20" t="n"/>
      <c r="B322" s="21" t="n"/>
      <c r="C322" s="22">
        <f>IF(A322="","",CHOOSE(WEEKDAY(A322,2),"Mon","Tue","Wed","Thu","Fri","Sat","Sun"))</f>
        <v/>
      </c>
      <c r="D322" s="23" t="n"/>
      <c r="E322" s="23" t="n"/>
      <c r="F322" s="23" t="n"/>
      <c r="G322" s="24" t="n"/>
      <c r="H322" s="24" t="n"/>
      <c r="I322" s="22">
        <f>IF(H322="","",LEN(H322))</f>
        <v/>
      </c>
      <c r="J322" s="25">
        <f>IF(D322="","",IFERROR(INDEX(PlatformLimits,MATCH(D322,PlatformNames,0)),""))</f>
        <v/>
      </c>
      <c r="K322" s="24" t="n"/>
      <c r="L322" s="23" t="n"/>
      <c r="M322" s="23" t="n"/>
      <c r="N322" s="23" t="n"/>
      <c r="O322" s="24" t="n"/>
      <c r="P322" s="22">
        <f>IF(AND(D322=ExportPlatform,N322="Ready",A322&lt;&gt;""),COUNTIFS($D$7:D322,ExportPlatform,$N$7:N322,"Ready",$A$7:A322,"&lt;&gt;"),"")</f>
        <v/>
      </c>
    </row>
    <row r="323">
      <c r="A323" s="20" t="n"/>
      <c r="B323" s="21" t="n"/>
      <c r="C323" s="22">
        <f>IF(A323="","",CHOOSE(WEEKDAY(A323,2),"Mon","Tue","Wed","Thu","Fri","Sat","Sun"))</f>
        <v/>
      </c>
      <c r="D323" s="23" t="n"/>
      <c r="E323" s="23" t="n"/>
      <c r="F323" s="23" t="n"/>
      <c r="G323" s="24" t="n"/>
      <c r="H323" s="24" t="n"/>
      <c r="I323" s="22">
        <f>IF(H323="","",LEN(H323))</f>
        <v/>
      </c>
      <c r="J323" s="25">
        <f>IF(D323="","",IFERROR(INDEX(PlatformLimits,MATCH(D323,PlatformNames,0)),""))</f>
        <v/>
      </c>
      <c r="K323" s="24" t="n"/>
      <c r="L323" s="23" t="n"/>
      <c r="M323" s="23" t="n"/>
      <c r="N323" s="23" t="n"/>
      <c r="O323" s="24" t="n"/>
      <c r="P323" s="22">
        <f>IF(AND(D323=ExportPlatform,N323="Ready",A323&lt;&gt;""),COUNTIFS($D$7:D323,ExportPlatform,$N$7:N323,"Ready",$A$7:A323,"&lt;&gt;"),"")</f>
        <v/>
      </c>
    </row>
    <row r="324">
      <c r="A324" s="20" t="n"/>
      <c r="B324" s="21" t="n"/>
      <c r="C324" s="22">
        <f>IF(A324="","",CHOOSE(WEEKDAY(A324,2),"Mon","Tue","Wed","Thu","Fri","Sat","Sun"))</f>
        <v/>
      </c>
      <c r="D324" s="23" t="n"/>
      <c r="E324" s="23" t="n"/>
      <c r="F324" s="23" t="n"/>
      <c r="G324" s="24" t="n"/>
      <c r="H324" s="24" t="n"/>
      <c r="I324" s="22">
        <f>IF(H324="","",LEN(H324))</f>
        <v/>
      </c>
      <c r="J324" s="25">
        <f>IF(D324="","",IFERROR(INDEX(PlatformLimits,MATCH(D324,PlatformNames,0)),""))</f>
        <v/>
      </c>
      <c r="K324" s="24" t="n"/>
      <c r="L324" s="23" t="n"/>
      <c r="M324" s="23" t="n"/>
      <c r="N324" s="23" t="n"/>
      <c r="O324" s="24" t="n"/>
      <c r="P324" s="22">
        <f>IF(AND(D324=ExportPlatform,N324="Ready",A324&lt;&gt;""),COUNTIFS($D$7:D324,ExportPlatform,$N$7:N324,"Ready",$A$7:A324,"&lt;&gt;"),"")</f>
        <v/>
      </c>
    </row>
    <row r="325">
      <c r="A325" s="20" t="n"/>
      <c r="B325" s="21" t="n"/>
      <c r="C325" s="22">
        <f>IF(A325="","",CHOOSE(WEEKDAY(A325,2),"Mon","Tue","Wed","Thu","Fri","Sat","Sun"))</f>
        <v/>
      </c>
      <c r="D325" s="23" t="n"/>
      <c r="E325" s="23" t="n"/>
      <c r="F325" s="23" t="n"/>
      <c r="G325" s="24" t="n"/>
      <c r="H325" s="24" t="n"/>
      <c r="I325" s="22">
        <f>IF(H325="","",LEN(H325))</f>
        <v/>
      </c>
      <c r="J325" s="25">
        <f>IF(D325="","",IFERROR(INDEX(PlatformLimits,MATCH(D325,PlatformNames,0)),""))</f>
        <v/>
      </c>
      <c r="K325" s="24" t="n"/>
      <c r="L325" s="23" t="n"/>
      <c r="M325" s="23" t="n"/>
      <c r="N325" s="23" t="n"/>
      <c r="O325" s="24" t="n"/>
      <c r="P325" s="22">
        <f>IF(AND(D325=ExportPlatform,N325="Ready",A325&lt;&gt;""),COUNTIFS($D$7:D325,ExportPlatform,$N$7:N325,"Ready",$A$7:A325,"&lt;&gt;"),"")</f>
        <v/>
      </c>
    </row>
    <row r="326">
      <c r="A326" s="20" t="n"/>
      <c r="B326" s="21" t="n"/>
      <c r="C326" s="22">
        <f>IF(A326="","",CHOOSE(WEEKDAY(A326,2),"Mon","Tue","Wed","Thu","Fri","Sat","Sun"))</f>
        <v/>
      </c>
      <c r="D326" s="23" t="n"/>
      <c r="E326" s="23" t="n"/>
      <c r="F326" s="23" t="n"/>
      <c r="G326" s="24" t="n"/>
      <c r="H326" s="24" t="n"/>
      <c r="I326" s="22">
        <f>IF(H326="","",LEN(H326))</f>
        <v/>
      </c>
      <c r="J326" s="25">
        <f>IF(D326="","",IFERROR(INDEX(PlatformLimits,MATCH(D326,PlatformNames,0)),""))</f>
        <v/>
      </c>
      <c r="K326" s="24" t="n"/>
      <c r="L326" s="23" t="n"/>
      <c r="M326" s="23" t="n"/>
      <c r="N326" s="23" t="n"/>
      <c r="O326" s="24" t="n"/>
      <c r="P326" s="22">
        <f>IF(AND(D326=ExportPlatform,N326="Ready",A326&lt;&gt;""),COUNTIFS($D$7:D326,ExportPlatform,$N$7:N326,"Ready",$A$7:A326,"&lt;&gt;"),"")</f>
        <v/>
      </c>
    </row>
    <row r="327">
      <c r="A327" s="20" t="n"/>
      <c r="B327" s="21" t="n"/>
      <c r="C327" s="22">
        <f>IF(A327="","",CHOOSE(WEEKDAY(A327,2),"Mon","Tue","Wed","Thu","Fri","Sat","Sun"))</f>
        <v/>
      </c>
      <c r="D327" s="23" t="n"/>
      <c r="E327" s="23" t="n"/>
      <c r="F327" s="23" t="n"/>
      <c r="G327" s="24" t="n"/>
      <c r="H327" s="24" t="n"/>
      <c r="I327" s="22">
        <f>IF(H327="","",LEN(H327))</f>
        <v/>
      </c>
      <c r="J327" s="25">
        <f>IF(D327="","",IFERROR(INDEX(PlatformLimits,MATCH(D327,PlatformNames,0)),""))</f>
        <v/>
      </c>
      <c r="K327" s="24" t="n"/>
      <c r="L327" s="23" t="n"/>
      <c r="M327" s="23" t="n"/>
      <c r="N327" s="23" t="n"/>
      <c r="O327" s="24" t="n"/>
      <c r="P327" s="22">
        <f>IF(AND(D327=ExportPlatform,N327="Ready",A327&lt;&gt;""),COUNTIFS($D$7:D327,ExportPlatform,$N$7:N327,"Ready",$A$7:A327,"&lt;&gt;"),"")</f>
        <v/>
      </c>
    </row>
    <row r="328">
      <c r="A328" s="20" t="n"/>
      <c r="B328" s="21" t="n"/>
      <c r="C328" s="22">
        <f>IF(A328="","",CHOOSE(WEEKDAY(A328,2),"Mon","Tue","Wed","Thu","Fri","Sat","Sun"))</f>
        <v/>
      </c>
      <c r="D328" s="23" t="n"/>
      <c r="E328" s="23" t="n"/>
      <c r="F328" s="23" t="n"/>
      <c r="G328" s="24" t="n"/>
      <c r="H328" s="24" t="n"/>
      <c r="I328" s="22">
        <f>IF(H328="","",LEN(H328))</f>
        <v/>
      </c>
      <c r="J328" s="25">
        <f>IF(D328="","",IFERROR(INDEX(PlatformLimits,MATCH(D328,PlatformNames,0)),""))</f>
        <v/>
      </c>
      <c r="K328" s="24" t="n"/>
      <c r="L328" s="23" t="n"/>
      <c r="M328" s="23" t="n"/>
      <c r="N328" s="23" t="n"/>
      <c r="O328" s="24" t="n"/>
      <c r="P328" s="22">
        <f>IF(AND(D328=ExportPlatform,N328="Ready",A328&lt;&gt;""),COUNTIFS($D$7:D328,ExportPlatform,$N$7:N328,"Ready",$A$7:A328,"&lt;&gt;"),"")</f>
        <v/>
      </c>
    </row>
    <row r="329">
      <c r="A329" s="20" t="n"/>
      <c r="B329" s="21" t="n"/>
      <c r="C329" s="22">
        <f>IF(A329="","",CHOOSE(WEEKDAY(A329,2),"Mon","Tue","Wed","Thu","Fri","Sat","Sun"))</f>
        <v/>
      </c>
      <c r="D329" s="23" t="n"/>
      <c r="E329" s="23" t="n"/>
      <c r="F329" s="23" t="n"/>
      <c r="G329" s="24" t="n"/>
      <c r="H329" s="24" t="n"/>
      <c r="I329" s="22">
        <f>IF(H329="","",LEN(H329))</f>
        <v/>
      </c>
      <c r="J329" s="25">
        <f>IF(D329="","",IFERROR(INDEX(PlatformLimits,MATCH(D329,PlatformNames,0)),""))</f>
        <v/>
      </c>
      <c r="K329" s="24" t="n"/>
      <c r="L329" s="23" t="n"/>
      <c r="M329" s="23" t="n"/>
      <c r="N329" s="23" t="n"/>
      <c r="O329" s="24" t="n"/>
      <c r="P329" s="22">
        <f>IF(AND(D329=ExportPlatform,N329="Ready",A329&lt;&gt;""),COUNTIFS($D$7:D329,ExportPlatform,$N$7:N329,"Ready",$A$7:A329,"&lt;&gt;"),"")</f>
        <v/>
      </c>
    </row>
    <row r="330">
      <c r="A330" s="20" t="n"/>
      <c r="B330" s="21" t="n"/>
      <c r="C330" s="22">
        <f>IF(A330="","",CHOOSE(WEEKDAY(A330,2),"Mon","Tue","Wed","Thu","Fri","Sat","Sun"))</f>
        <v/>
      </c>
      <c r="D330" s="23" t="n"/>
      <c r="E330" s="23" t="n"/>
      <c r="F330" s="23" t="n"/>
      <c r="G330" s="24" t="n"/>
      <c r="H330" s="24" t="n"/>
      <c r="I330" s="22">
        <f>IF(H330="","",LEN(H330))</f>
        <v/>
      </c>
      <c r="J330" s="25">
        <f>IF(D330="","",IFERROR(INDEX(PlatformLimits,MATCH(D330,PlatformNames,0)),""))</f>
        <v/>
      </c>
      <c r="K330" s="24" t="n"/>
      <c r="L330" s="23" t="n"/>
      <c r="M330" s="23" t="n"/>
      <c r="N330" s="23" t="n"/>
      <c r="O330" s="24" t="n"/>
      <c r="P330" s="22">
        <f>IF(AND(D330=ExportPlatform,N330="Ready",A330&lt;&gt;""),COUNTIFS($D$7:D330,ExportPlatform,$N$7:N330,"Ready",$A$7:A330,"&lt;&gt;"),"")</f>
        <v/>
      </c>
    </row>
    <row r="331">
      <c r="A331" s="20" t="n"/>
      <c r="B331" s="21" t="n"/>
      <c r="C331" s="22">
        <f>IF(A331="","",CHOOSE(WEEKDAY(A331,2),"Mon","Tue","Wed","Thu","Fri","Sat","Sun"))</f>
        <v/>
      </c>
      <c r="D331" s="23" t="n"/>
      <c r="E331" s="23" t="n"/>
      <c r="F331" s="23" t="n"/>
      <c r="G331" s="24" t="n"/>
      <c r="H331" s="24" t="n"/>
      <c r="I331" s="22">
        <f>IF(H331="","",LEN(H331))</f>
        <v/>
      </c>
      <c r="J331" s="25">
        <f>IF(D331="","",IFERROR(INDEX(PlatformLimits,MATCH(D331,PlatformNames,0)),""))</f>
        <v/>
      </c>
      <c r="K331" s="24" t="n"/>
      <c r="L331" s="23" t="n"/>
      <c r="M331" s="23" t="n"/>
      <c r="N331" s="23" t="n"/>
      <c r="O331" s="24" t="n"/>
      <c r="P331" s="22">
        <f>IF(AND(D331=ExportPlatform,N331="Ready",A331&lt;&gt;""),COUNTIFS($D$7:D331,ExportPlatform,$N$7:N331,"Ready",$A$7:A331,"&lt;&gt;"),"")</f>
        <v/>
      </c>
    </row>
    <row r="332">
      <c r="A332" s="20" t="n"/>
      <c r="B332" s="21" t="n"/>
      <c r="C332" s="22">
        <f>IF(A332="","",CHOOSE(WEEKDAY(A332,2),"Mon","Tue","Wed","Thu","Fri","Sat","Sun"))</f>
        <v/>
      </c>
      <c r="D332" s="23" t="n"/>
      <c r="E332" s="23" t="n"/>
      <c r="F332" s="23" t="n"/>
      <c r="G332" s="24" t="n"/>
      <c r="H332" s="24" t="n"/>
      <c r="I332" s="22">
        <f>IF(H332="","",LEN(H332))</f>
        <v/>
      </c>
      <c r="J332" s="25">
        <f>IF(D332="","",IFERROR(INDEX(PlatformLimits,MATCH(D332,PlatformNames,0)),""))</f>
        <v/>
      </c>
      <c r="K332" s="24" t="n"/>
      <c r="L332" s="23" t="n"/>
      <c r="M332" s="23" t="n"/>
      <c r="N332" s="23" t="n"/>
      <c r="O332" s="24" t="n"/>
      <c r="P332" s="22">
        <f>IF(AND(D332=ExportPlatform,N332="Ready",A332&lt;&gt;""),COUNTIFS($D$7:D332,ExportPlatform,$N$7:N332,"Ready",$A$7:A332,"&lt;&gt;"),"")</f>
        <v/>
      </c>
    </row>
    <row r="333">
      <c r="A333" s="20" t="n"/>
      <c r="B333" s="21" t="n"/>
      <c r="C333" s="22">
        <f>IF(A333="","",CHOOSE(WEEKDAY(A333,2),"Mon","Tue","Wed","Thu","Fri","Sat","Sun"))</f>
        <v/>
      </c>
      <c r="D333" s="23" t="n"/>
      <c r="E333" s="23" t="n"/>
      <c r="F333" s="23" t="n"/>
      <c r="G333" s="24" t="n"/>
      <c r="H333" s="24" t="n"/>
      <c r="I333" s="22">
        <f>IF(H333="","",LEN(H333))</f>
        <v/>
      </c>
      <c r="J333" s="25">
        <f>IF(D333="","",IFERROR(INDEX(PlatformLimits,MATCH(D333,PlatformNames,0)),""))</f>
        <v/>
      </c>
      <c r="K333" s="24" t="n"/>
      <c r="L333" s="23" t="n"/>
      <c r="M333" s="23" t="n"/>
      <c r="N333" s="23" t="n"/>
      <c r="O333" s="24" t="n"/>
      <c r="P333" s="22">
        <f>IF(AND(D333=ExportPlatform,N333="Ready",A333&lt;&gt;""),COUNTIFS($D$7:D333,ExportPlatform,$N$7:N333,"Ready",$A$7:A333,"&lt;&gt;"),"")</f>
        <v/>
      </c>
    </row>
    <row r="334">
      <c r="A334" s="20" t="n"/>
      <c r="B334" s="21" t="n"/>
      <c r="C334" s="22">
        <f>IF(A334="","",CHOOSE(WEEKDAY(A334,2),"Mon","Tue","Wed","Thu","Fri","Sat","Sun"))</f>
        <v/>
      </c>
      <c r="D334" s="23" t="n"/>
      <c r="E334" s="23" t="n"/>
      <c r="F334" s="23" t="n"/>
      <c r="G334" s="24" t="n"/>
      <c r="H334" s="24" t="n"/>
      <c r="I334" s="22">
        <f>IF(H334="","",LEN(H334))</f>
        <v/>
      </c>
      <c r="J334" s="25">
        <f>IF(D334="","",IFERROR(INDEX(PlatformLimits,MATCH(D334,PlatformNames,0)),""))</f>
        <v/>
      </c>
      <c r="K334" s="24" t="n"/>
      <c r="L334" s="23" t="n"/>
      <c r="M334" s="23" t="n"/>
      <c r="N334" s="23" t="n"/>
      <c r="O334" s="24" t="n"/>
      <c r="P334" s="22">
        <f>IF(AND(D334=ExportPlatform,N334="Ready",A334&lt;&gt;""),COUNTIFS($D$7:D334,ExportPlatform,$N$7:N334,"Ready",$A$7:A334,"&lt;&gt;"),"")</f>
        <v/>
      </c>
    </row>
    <row r="335">
      <c r="A335" s="20" t="n"/>
      <c r="B335" s="21" t="n"/>
      <c r="C335" s="22">
        <f>IF(A335="","",CHOOSE(WEEKDAY(A335,2),"Mon","Tue","Wed","Thu","Fri","Sat","Sun"))</f>
        <v/>
      </c>
      <c r="D335" s="23" t="n"/>
      <c r="E335" s="23" t="n"/>
      <c r="F335" s="23" t="n"/>
      <c r="G335" s="24" t="n"/>
      <c r="H335" s="24" t="n"/>
      <c r="I335" s="22">
        <f>IF(H335="","",LEN(H335))</f>
        <v/>
      </c>
      <c r="J335" s="25">
        <f>IF(D335="","",IFERROR(INDEX(PlatformLimits,MATCH(D335,PlatformNames,0)),""))</f>
        <v/>
      </c>
      <c r="K335" s="24" t="n"/>
      <c r="L335" s="23" t="n"/>
      <c r="M335" s="23" t="n"/>
      <c r="N335" s="23" t="n"/>
      <c r="O335" s="24" t="n"/>
      <c r="P335" s="22">
        <f>IF(AND(D335=ExportPlatform,N335="Ready",A335&lt;&gt;""),COUNTIFS($D$7:D335,ExportPlatform,$N$7:N335,"Ready",$A$7:A335,"&lt;&gt;"),"")</f>
        <v/>
      </c>
    </row>
    <row r="336">
      <c r="A336" s="20" t="n"/>
      <c r="B336" s="21" t="n"/>
      <c r="C336" s="22">
        <f>IF(A336="","",CHOOSE(WEEKDAY(A336,2),"Mon","Tue","Wed","Thu","Fri","Sat","Sun"))</f>
        <v/>
      </c>
      <c r="D336" s="23" t="n"/>
      <c r="E336" s="23" t="n"/>
      <c r="F336" s="23" t="n"/>
      <c r="G336" s="24" t="n"/>
      <c r="H336" s="24" t="n"/>
      <c r="I336" s="22">
        <f>IF(H336="","",LEN(H336))</f>
        <v/>
      </c>
      <c r="J336" s="25">
        <f>IF(D336="","",IFERROR(INDEX(PlatformLimits,MATCH(D336,PlatformNames,0)),""))</f>
        <v/>
      </c>
      <c r="K336" s="24" t="n"/>
      <c r="L336" s="23" t="n"/>
      <c r="M336" s="23" t="n"/>
      <c r="N336" s="23" t="n"/>
      <c r="O336" s="24" t="n"/>
      <c r="P336" s="22">
        <f>IF(AND(D336=ExportPlatform,N336="Ready",A336&lt;&gt;""),COUNTIFS($D$7:D336,ExportPlatform,$N$7:N336,"Ready",$A$7:A336,"&lt;&gt;"),"")</f>
        <v/>
      </c>
    </row>
    <row r="337">
      <c r="A337" s="20" t="n"/>
      <c r="B337" s="21" t="n"/>
      <c r="C337" s="22">
        <f>IF(A337="","",CHOOSE(WEEKDAY(A337,2),"Mon","Tue","Wed","Thu","Fri","Sat","Sun"))</f>
        <v/>
      </c>
      <c r="D337" s="23" t="n"/>
      <c r="E337" s="23" t="n"/>
      <c r="F337" s="23" t="n"/>
      <c r="G337" s="24" t="n"/>
      <c r="H337" s="24" t="n"/>
      <c r="I337" s="22">
        <f>IF(H337="","",LEN(H337))</f>
        <v/>
      </c>
      <c r="J337" s="25">
        <f>IF(D337="","",IFERROR(INDEX(PlatformLimits,MATCH(D337,PlatformNames,0)),""))</f>
        <v/>
      </c>
      <c r="K337" s="24" t="n"/>
      <c r="L337" s="23" t="n"/>
      <c r="M337" s="23" t="n"/>
      <c r="N337" s="23" t="n"/>
      <c r="O337" s="24" t="n"/>
      <c r="P337" s="22">
        <f>IF(AND(D337=ExportPlatform,N337="Ready",A337&lt;&gt;""),COUNTIFS($D$7:D337,ExportPlatform,$N$7:N337,"Ready",$A$7:A337,"&lt;&gt;"),"")</f>
        <v/>
      </c>
    </row>
    <row r="338">
      <c r="A338" s="20" t="n"/>
      <c r="B338" s="21" t="n"/>
      <c r="C338" s="22">
        <f>IF(A338="","",CHOOSE(WEEKDAY(A338,2),"Mon","Tue","Wed","Thu","Fri","Sat","Sun"))</f>
        <v/>
      </c>
      <c r="D338" s="23" t="n"/>
      <c r="E338" s="23" t="n"/>
      <c r="F338" s="23" t="n"/>
      <c r="G338" s="24" t="n"/>
      <c r="H338" s="24" t="n"/>
      <c r="I338" s="22">
        <f>IF(H338="","",LEN(H338))</f>
        <v/>
      </c>
      <c r="J338" s="25">
        <f>IF(D338="","",IFERROR(INDEX(PlatformLimits,MATCH(D338,PlatformNames,0)),""))</f>
        <v/>
      </c>
      <c r="K338" s="24" t="n"/>
      <c r="L338" s="23" t="n"/>
      <c r="M338" s="23" t="n"/>
      <c r="N338" s="23" t="n"/>
      <c r="O338" s="24" t="n"/>
      <c r="P338" s="22">
        <f>IF(AND(D338=ExportPlatform,N338="Ready",A338&lt;&gt;""),COUNTIFS($D$7:D338,ExportPlatform,$N$7:N338,"Ready",$A$7:A338,"&lt;&gt;"),"")</f>
        <v/>
      </c>
    </row>
    <row r="339">
      <c r="A339" s="20" t="n"/>
      <c r="B339" s="21" t="n"/>
      <c r="C339" s="22">
        <f>IF(A339="","",CHOOSE(WEEKDAY(A339,2),"Mon","Tue","Wed","Thu","Fri","Sat","Sun"))</f>
        <v/>
      </c>
      <c r="D339" s="23" t="n"/>
      <c r="E339" s="23" t="n"/>
      <c r="F339" s="23" t="n"/>
      <c r="G339" s="24" t="n"/>
      <c r="H339" s="24" t="n"/>
      <c r="I339" s="22">
        <f>IF(H339="","",LEN(H339))</f>
        <v/>
      </c>
      <c r="J339" s="25">
        <f>IF(D339="","",IFERROR(INDEX(PlatformLimits,MATCH(D339,PlatformNames,0)),""))</f>
        <v/>
      </c>
      <c r="K339" s="24" t="n"/>
      <c r="L339" s="23" t="n"/>
      <c r="M339" s="23" t="n"/>
      <c r="N339" s="23" t="n"/>
      <c r="O339" s="24" t="n"/>
      <c r="P339" s="22">
        <f>IF(AND(D339=ExportPlatform,N339="Ready",A339&lt;&gt;""),COUNTIFS($D$7:D339,ExportPlatform,$N$7:N339,"Ready",$A$7:A339,"&lt;&gt;"),"")</f>
        <v/>
      </c>
    </row>
    <row r="340">
      <c r="A340" s="20" t="n"/>
      <c r="B340" s="21" t="n"/>
      <c r="C340" s="22">
        <f>IF(A340="","",CHOOSE(WEEKDAY(A340,2),"Mon","Tue","Wed","Thu","Fri","Sat","Sun"))</f>
        <v/>
      </c>
      <c r="D340" s="23" t="n"/>
      <c r="E340" s="23" t="n"/>
      <c r="F340" s="23" t="n"/>
      <c r="G340" s="24" t="n"/>
      <c r="H340" s="24" t="n"/>
      <c r="I340" s="22">
        <f>IF(H340="","",LEN(H340))</f>
        <v/>
      </c>
      <c r="J340" s="25">
        <f>IF(D340="","",IFERROR(INDEX(PlatformLimits,MATCH(D340,PlatformNames,0)),""))</f>
        <v/>
      </c>
      <c r="K340" s="24" t="n"/>
      <c r="L340" s="23" t="n"/>
      <c r="M340" s="23" t="n"/>
      <c r="N340" s="23" t="n"/>
      <c r="O340" s="24" t="n"/>
      <c r="P340" s="22">
        <f>IF(AND(D340=ExportPlatform,N340="Ready",A340&lt;&gt;""),COUNTIFS($D$7:D340,ExportPlatform,$N$7:N340,"Ready",$A$7:A340,"&lt;&gt;"),"")</f>
        <v/>
      </c>
    </row>
    <row r="341">
      <c r="A341" s="20" t="n"/>
      <c r="B341" s="21" t="n"/>
      <c r="C341" s="22">
        <f>IF(A341="","",CHOOSE(WEEKDAY(A341,2),"Mon","Tue","Wed","Thu","Fri","Sat","Sun"))</f>
        <v/>
      </c>
      <c r="D341" s="23" t="n"/>
      <c r="E341" s="23" t="n"/>
      <c r="F341" s="23" t="n"/>
      <c r="G341" s="24" t="n"/>
      <c r="H341" s="24" t="n"/>
      <c r="I341" s="22">
        <f>IF(H341="","",LEN(H341))</f>
        <v/>
      </c>
      <c r="J341" s="25">
        <f>IF(D341="","",IFERROR(INDEX(PlatformLimits,MATCH(D341,PlatformNames,0)),""))</f>
        <v/>
      </c>
      <c r="K341" s="24" t="n"/>
      <c r="L341" s="23" t="n"/>
      <c r="M341" s="23" t="n"/>
      <c r="N341" s="23" t="n"/>
      <c r="O341" s="24" t="n"/>
      <c r="P341" s="22">
        <f>IF(AND(D341=ExportPlatform,N341="Ready",A341&lt;&gt;""),COUNTIFS($D$7:D341,ExportPlatform,$N$7:N341,"Ready",$A$7:A341,"&lt;&gt;"),"")</f>
        <v/>
      </c>
    </row>
    <row r="342">
      <c r="A342" s="20" t="n"/>
      <c r="B342" s="21" t="n"/>
      <c r="C342" s="22">
        <f>IF(A342="","",CHOOSE(WEEKDAY(A342,2),"Mon","Tue","Wed","Thu","Fri","Sat","Sun"))</f>
        <v/>
      </c>
      <c r="D342" s="23" t="n"/>
      <c r="E342" s="23" t="n"/>
      <c r="F342" s="23" t="n"/>
      <c r="G342" s="24" t="n"/>
      <c r="H342" s="24" t="n"/>
      <c r="I342" s="22">
        <f>IF(H342="","",LEN(H342))</f>
        <v/>
      </c>
      <c r="J342" s="25">
        <f>IF(D342="","",IFERROR(INDEX(PlatformLimits,MATCH(D342,PlatformNames,0)),""))</f>
        <v/>
      </c>
      <c r="K342" s="24" t="n"/>
      <c r="L342" s="23" t="n"/>
      <c r="M342" s="23" t="n"/>
      <c r="N342" s="23" t="n"/>
      <c r="O342" s="24" t="n"/>
      <c r="P342" s="22">
        <f>IF(AND(D342=ExportPlatform,N342="Ready",A342&lt;&gt;""),COUNTIFS($D$7:D342,ExportPlatform,$N$7:N342,"Ready",$A$7:A342,"&lt;&gt;"),"")</f>
        <v/>
      </c>
    </row>
    <row r="343">
      <c r="A343" s="20" t="n"/>
      <c r="B343" s="21" t="n"/>
      <c r="C343" s="22">
        <f>IF(A343="","",CHOOSE(WEEKDAY(A343,2),"Mon","Tue","Wed","Thu","Fri","Sat","Sun"))</f>
        <v/>
      </c>
      <c r="D343" s="23" t="n"/>
      <c r="E343" s="23" t="n"/>
      <c r="F343" s="23" t="n"/>
      <c r="G343" s="24" t="n"/>
      <c r="H343" s="24" t="n"/>
      <c r="I343" s="22">
        <f>IF(H343="","",LEN(H343))</f>
        <v/>
      </c>
      <c r="J343" s="25">
        <f>IF(D343="","",IFERROR(INDEX(PlatformLimits,MATCH(D343,PlatformNames,0)),""))</f>
        <v/>
      </c>
      <c r="K343" s="24" t="n"/>
      <c r="L343" s="23" t="n"/>
      <c r="M343" s="23" t="n"/>
      <c r="N343" s="23" t="n"/>
      <c r="O343" s="24" t="n"/>
      <c r="P343" s="22">
        <f>IF(AND(D343=ExportPlatform,N343="Ready",A343&lt;&gt;""),COUNTIFS($D$7:D343,ExportPlatform,$N$7:N343,"Ready",$A$7:A343,"&lt;&gt;"),"")</f>
        <v/>
      </c>
    </row>
    <row r="344">
      <c r="A344" s="20" t="n"/>
      <c r="B344" s="21" t="n"/>
      <c r="C344" s="22">
        <f>IF(A344="","",CHOOSE(WEEKDAY(A344,2),"Mon","Tue","Wed","Thu","Fri","Sat","Sun"))</f>
        <v/>
      </c>
      <c r="D344" s="23" t="n"/>
      <c r="E344" s="23" t="n"/>
      <c r="F344" s="23" t="n"/>
      <c r="G344" s="24" t="n"/>
      <c r="H344" s="24" t="n"/>
      <c r="I344" s="22">
        <f>IF(H344="","",LEN(H344))</f>
        <v/>
      </c>
      <c r="J344" s="25">
        <f>IF(D344="","",IFERROR(INDEX(PlatformLimits,MATCH(D344,PlatformNames,0)),""))</f>
        <v/>
      </c>
      <c r="K344" s="24" t="n"/>
      <c r="L344" s="23" t="n"/>
      <c r="M344" s="23" t="n"/>
      <c r="N344" s="23" t="n"/>
      <c r="O344" s="24" t="n"/>
      <c r="P344" s="22">
        <f>IF(AND(D344=ExportPlatform,N344="Ready",A344&lt;&gt;""),COUNTIFS($D$7:D344,ExportPlatform,$N$7:N344,"Ready",$A$7:A344,"&lt;&gt;"),"")</f>
        <v/>
      </c>
    </row>
    <row r="345">
      <c r="A345" s="20" t="n"/>
      <c r="B345" s="21" t="n"/>
      <c r="C345" s="22">
        <f>IF(A345="","",CHOOSE(WEEKDAY(A345,2),"Mon","Tue","Wed","Thu","Fri","Sat","Sun"))</f>
        <v/>
      </c>
      <c r="D345" s="23" t="n"/>
      <c r="E345" s="23" t="n"/>
      <c r="F345" s="23" t="n"/>
      <c r="G345" s="24" t="n"/>
      <c r="H345" s="24" t="n"/>
      <c r="I345" s="22">
        <f>IF(H345="","",LEN(H345))</f>
        <v/>
      </c>
      <c r="J345" s="25">
        <f>IF(D345="","",IFERROR(INDEX(PlatformLimits,MATCH(D345,PlatformNames,0)),""))</f>
        <v/>
      </c>
      <c r="K345" s="24" t="n"/>
      <c r="L345" s="23" t="n"/>
      <c r="M345" s="23" t="n"/>
      <c r="N345" s="23" t="n"/>
      <c r="O345" s="24" t="n"/>
      <c r="P345" s="22">
        <f>IF(AND(D345=ExportPlatform,N345="Ready",A345&lt;&gt;""),COUNTIFS($D$7:D345,ExportPlatform,$N$7:N345,"Ready",$A$7:A345,"&lt;&gt;"),"")</f>
        <v/>
      </c>
    </row>
    <row r="346">
      <c r="A346" s="20" t="n"/>
      <c r="B346" s="21" t="n"/>
      <c r="C346" s="22">
        <f>IF(A346="","",CHOOSE(WEEKDAY(A346,2),"Mon","Tue","Wed","Thu","Fri","Sat","Sun"))</f>
        <v/>
      </c>
      <c r="D346" s="23" t="n"/>
      <c r="E346" s="23" t="n"/>
      <c r="F346" s="23" t="n"/>
      <c r="G346" s="24" t="n"/>
      <c r="H346" s="24" t="n"/>
      <c r="I346" s="22">
        <f>IF(H346="","",LEN(H346))</f>
        <v/>
      </c>
      <c r="J346" s="25">
        <f>IF(D346="","",IFERROR(INDEX(PlatformLimits,MATCH(D346,PlatformNames,0)),""))</f>
        <v/>
      </c>
      <c r="K346" s="24" t="n"/>
      <c r="L346" s="23" t="n"/>
      <c r="M346" s="23" t="n"/>
      <c r="N346" s="23" t="n"/>
      <c r="O346" s="24" t="n"/>
      <c r="P346" s="22">
        <f>IF(AND(D346=ExportPlatform,N346="Ready",A346&lt;&gt;""),COUNTIFS($D$7:D346,ExportPlatform,$N$7:N346,"Ready",$A$7:A346,"&lt;&gt;"),"")</f>
        <v/>
      </c>
    </row>
    <row r="347">
      <c r="A347" s="20" t="n"/>
      <c r="B347" s="21" t="n"/>
      <c r="C347" s="22">
        <f>IF(A347="","",CHOOSE(WEEKDAY(A347,2),"Mon","Tue","Wed","Thu","Fri","Sat","Sun"))</f>
        <v/>
      </c>
      <c r="D347" s="23" t="n"/>
      <c r="E347" s="23" t="n"/>
      <c r="F347" s="23" t="n"/>
      <c r="G347" s="24" t="n"/>
      <c r="H347" s="24" t="n"/>
      <c r="I347" s="22">
        <f>IF(H347="","",LEN(H347))</f>
        <v/>
      </c>
      <c r="J347" s="25">
        <f>IF(D347="","",IFERROR(INDEX(PlatformLimits,MATCH(D347,PlatformNames,0)),""))</f>
        <v/>
      </c>
      <c r="K347" s="24" t="n"/>
      <c r="L347" s="23" t="n"/>
      <c r="M347" s="23" t="n"/>
      <c r="N347" s="23" t="n"/>
      <c r="O347" s="24" t="n"/>
      <c r="P347" s="22">
        <f>IF(AND(D347=ExportPlatform,N347="Ready",A347&lt;&gt;""),COUNTIFS($D$7:D347,ExportPlatform,$N$7:N347,"Ready",$A$7:A347,"&lt;&gt;"),"")</f>
        <v/>
      </c>
    </row>
    <row r="348">
      <c r="A348" s="20" t="n"/>
      <c r="B348" s="21" t="n"/>
      <c r="C348" s="22">
        <f>IF(A348="","",CHOOSE(WEEKDAY(A348,2),"Mon","Tue","Wed","Thu","Fri","Sat","Sun"))</f>
        <v/>
      </c>
      <c r="D348" s="23" t="n"/>
      <c r="E348" s="23" t="n"/>
      <c r="F348" s="23" t="n"/>
      <c r="G348" s="24" t="n"/>
      <c r="H348" s="24" t="n"/>
      <c r="I348" s="22">
        <f>IF(H348="","",LEN(H348))</f>
        <v/>
      </c>
      <c r="J348" s="25">
        <f>IF(D348="","",IFERROR(INDEX(PlatformLimits,MATCH(D348,PlatformNames,0)),""))</f>
        <v/>
      </c>
      <c r="K348" s="24" t="n"/>
      <c r="L348" s="23" t="n"/>
      <c r="M348" s="23" t="n"/>
      <c r="N348" s="23" t="n"/>
      <c r="O348" s="24" t="n"/>
      <c r="P348" s="22">
        <f>IF(AND(D348=ExportPlatform,N348="Ready",A348&lt;&gt;""),COUNTIFS($D$7:D348,ExportPlatform,$N$7:N348,"Ready",$A$7:A348,"&lt;&gt;"),"")</f>
        <v/>
      </c>
    </row>
    <row r="349">
      <c r="A349" s="20" t="n"/>
      <c r="B349" s="21" t="n"/>
      <c r="C349" s="22">
        <f>IF(A349="","",CHOOSE(WEEKDAY(A349,2),"Mon","Tue","Wed","Thu","Fri","Sat","Sun"))</f>
        <v/>
      </c>
      <c r="D349" s="23" t="n"/>
      <c r="E349" s="23" t="n"/>
      <c r="F349" s="23" t="n"/>
      <c r="G349" s="24" t="n"/>
      <c r="H349" s="24" t="n"/>
      <c r="I349" s="22">
        <f>IF(H349="","",LEN(H349))</f>
        <v/>
      </c>
      <c r="J349" s="25">
        <f>IF(D349="","",IFERROR(INDEX(PlatformLimits,MATCH(D349,PlatformNames,0)),""))</f>
        <v/>
      </c>
      <c r="K349" s="24" t="n"/>
      <c r="L349" s="23" t="n"/>
      <c r="M349" s="23" t="n"/>
      <c r="N349" s="23" t="n"/>
      <c r="O349" s="24" t="n"/>
      <c r="P349" s="22">
        <f>IF(AND(D349=ExportPlatform,N349="Ready",A349&lt;&gt;""),COUNTIFS($D$7:D349,ExportPlatform,$N$7:N349,"Ready",$A$7:A349,"&lt;&gt;"),"")</f>
        <v/>
      </c>
    </row>
    <row r="350">
      <c r="A350" s="20" t="n"/>
      <c r="B350" s="21" t="n"/>
      <c r="C350" s="22">
        <f>IF(A350="","",CHOOSE(WEEKDAY(A350,2),"Mon","Tue","Wed","Thu","Fri","Sat","Sun"))</f>
        <v/>
      </c>
      <c r="D350" s="23" t="n"/>
      <c r="E350" s="23" t="n"/>
      <c r="F350" s="23" t="n"/>
      <c r="G350" s="24" t="n"/>
      <c r="H350" s="24" t="n"/>
      <c r="I350" s="22">
        <f>IF(H350="","",LEN(H350))</f>
        <v/>
      </c>
      <c r="J350" s="25">
        <f>IF(D350="","",IFERROR(INDEX(PlatformLimits,MATCH(D350,PlatformNames,0)),""))</f>
        <v/>
      </c>
      <c r="K350" s="24" t="n"/>
      <c r="L350" s="23" t="n"/>
      <c r="M350" s="23" t="n"/>
      <c r="N350" s="23" t="n"/>
      <c r="O350" s="24" t="n"/>
      <c r="P350" s="22">
        <f>IF(AND(D350=ExportPlatform,N350="Ready",A350&lt;&gt;""),COUNTIFS($D$7:D350,ExportPlatform,$N$7:N350,"Ready",$A$7:A350,"&lt;&gt;"),"")</f>
        <v/>
      </c>
    </row>
    <row r="351">
      <c r="A351" s="20" t="n"/>
      <c r="B351" s="21" t="n"/>
      <c r="C351" s="22">
        <f>IF(A351="","",CHOOSE(WEEKDAY(A351,2),"Mon","Tue","Wed","Thu","Fri","Sat","Sun"))</f>
        <v/>
      </c>
      <c r="D351" s="23" t="n"/>
      <c r="E351" s="23" t="n"/>
      <c r="F351" s="23" t="n"/>
      <c r="G351" s="24" t="n"/>
      <c r="H351" s="24" t="n"/>
      <c r="I351" s="22">
        <f>IF(H351="","",LEN(H351))</f>
        <v/>
      </c>
      <c r="J351" s="25">
        <f>IF(D351="","",IFERROR(INDEX(PlatformLimits,MATCH(D351,PlatformNames,0)),""))</f>
        <v/>
      </c>
      <c r="K351" s="24" t="n"/>
      <c r="L351" s="23" t="n"/>
      <c r="M351" s="23" t="n"/>
      <c r="N351" s="23" t="n"/>
      <c r="O351" s="24" t="n"/>
      <c r="P351" s="22">
        <f>IF(AND(D351=ExportPlatform,N351="Ready",A351&lt;&gt;""),COUNTIFS($D$7:D351,ExportPlatform,$N$7:N351,"Ready",$A$7:A351,"&lt;&gt;"),"")</f>
        <v/>
      </c>
    </row>
    <row r="352">
      <c r="A352" s="20" t="n"/>
      <c r="B352" s="21" t="n"/>
      <c r="C352" s="22">
        <f>IF(A352="","",CHOOSE(WEEKDAY(A352,2),"Mon","Tue","Wed","Thu","Fri","Sat","Sun"))</f>
        <v/>
      </c>
      <c r="D352" s="23" t="n"/>
      <c r="E352" s="23" t="n"/>
      <c r="F352" s="23" t="n"/>
      <c r="G352" s="24" t="n"/>
      <c r="H352" s="24" t="n"/>
      <c r="I352" s="22">
        <f>IF(H352="","",LEN(H352))</f>
        <v/>
      </c>
      <c r="J352" s="25">
        <f>IF(D352="","",IFERROR(INDEX(PlatformLimits,MATCH(D352,PlatformNames,0)),""))</f>
        <v/>
      </c>
      <c r="K352" s="24" t="n"/>
      <c r="L352" s="23" t="n"/>
      <c r="M352" s="23" t="n"/>
      <c r="N352" s="23" t="n"/>
      <c r="O352" s="24" t="n"/>
      <c r="P352" s="22">
        <f>IF(AND(D352=ExportPlatform,N352="Ready",A352&lt;&gt;""),COUNTIFS($D$7:D352,ExportPlatform,$N$7:N352,"Ready",$A$7:A352,"&lt;&gt;"),"")</f>
        <v/>
      </c>
    </row>
    <row r="353">
      <c r="A353" s="20" t="n"/>
      <c r="B353" s="21" t="n"/>
      <c r="C353" s="22">
        <f>IF(A353="","",CHOOSE(WEEKDAY(A353,2),"Mon","Tue","Wed","Thu","Fri","Sat","Sun"))</f>
        <v/>
      </c>
      <c r="D353" s="23" t="n"/>
      <c r="E353" s="23" t="n"/>
      <c r="F353" s="23" t="n"/>
      <c r="G353" s="24" t="n"/>
      <c r="H353" s="24" t="n"/>
      <c r="I353" s="22">
        <f>IF(H353="","",LEN(H353))</f>
        <v/>
      </c>
      <c r="J353" s="25">
        <f>IF(D353="","",IFERROR(INDEX(PlatformLimits,MATCH(D353,PlatformNames,0)),""))</f>
        <v/>
      </c>
      <c r="K353" s="24" t="n"/>
      <c r="L353" s="23" t="n"/>
      <c r="M353" s="23" t="n"/>
      <c r="N353" s="23" t="n"/>
      <c r="O353" s="24" t="n"/>
      <c r="P353" s="22">
        <f>IF(AND(D353=ExportPlatform,N353="Ready",A353&lt;&gt;""),COUNTIFS($D$7:D353,ExportPlatform,$N$7:N353,"Ready",$A$7:A353,"&lt;&gt;"),"")</f>
        <v/>
      </c>
    </row>
    <row r="354">
      <c r="A354" s="20" t="n"/>
      <c r="B354" s="21" t="n"/>
      <c r="C354" s="22">
        <f>IF(A354="","",CHOOSE(WEEKDAY(A354,2),"Mon","Tue","Wed","Thu","Fri","Sat","Sun"))</f>
        <v/>
      </c>
      <c r="D354" s="23" t="n"/>
      <c r="E354" s="23" t="n"/>
      <c r="F354" s="23" t="n"/>
      <c r="G354" s="24" t="n"/>
      <c r="H354" s="24" t="n"/>
      <c r="I354" s="22">
        <f>IF(H354="","",LEN(H354))</f>
        <v/>
      </c>
      <c r="J354" s="25">
        <f>IF(D354="","",IFERROR(INDEX(PlatformLimits,MATCH(D354,PlatformNames,0)),""))</f>
        <v/>
      </c>
      <c r="K354" s="24" t="n"/>
      <c r="L354" s="23" t="n"/>
      <c r="M354" s="23" t="n"/>
      <c r="N354" s="23" t="n"/>
      <c r="O354" s="24" t="n"/>
      <c r="P354" s="22">
        <f>IF(AND(D354=ExportPlatform,N354="Ready",A354&lt;&gt;""),COUNTIFS($D$7:D354,ExportPlatform,$N$7:N354,"Ready",$A$7:A354,"&lt;&gt;"),"")</f>
        <v/>
      </c>
    </row>
    <row r="355">
      <c r="A355" s="20" t="n"/>
      <c r="B355" s="21" t="n"/>
      <c r="C355" s="22">
        <f>IF(A355="","",CHOOSE(WEEKDAY(A355,2),"Mon","Tue","Wed","Thu","Fri","Sat","Sun"))</f>
        <v/>
      </c>
      <c r="D355" s="23" t="n"/>
      <c r="E355" s="23" t="n"/>
      <c r="F355" s="23" t="n"/>
      <c r="G355" s="24" t="n"/>
      <c r="H355" s="24" t="n"/>
      <c r="I355" s="22">
        <f>IF(H355="","",LEN(H355))</f>
        <v/>
      </c>
      <c r="J355" s="25">
        <f>IF(D355="","",IFERROR(INDEX(PlatformLimits,MATCH(D355,PlatformNames,0)),""))</f>
        <v/>
      </c>
      <c r="K355" s="24" t="n"/>
      <c r="L355" s="23" t="n"/>
      <c r="M355" s="23" t="n"/>
      <c r="N355" s="23" t="n"/>
      <c r="O355" s="24" t="n"/>
      <c r="P355" s="22">
        <f>IF(AND(D355=ExportPlatform,N355="Ready",A355&lt;&gt;""),COUNTIFS($D$7:D355,ExportPlatform,$N$7:N355,"Ready",$A$7:A355,"&lt;&gt;"),"")</f>
        <v/>
      </c>
    </row>
    <row r="356">
      <c r="A356" s="20" t="n"/>
      <c r="B356" s="21" t="n"/>
      <c r="C356" s="22">
        <f>IF(A356="","",CHOOSE(WEEKDAY(A356,2),"Mon","Tue","Wed","Thu","Fri","Sat","Sun"))</f>
        <v/>
      </c>
      <c r="D356" s="23" t="n"/>
      <c r="E356" s="23" t="n"/>
      <c r="F356" s="23" t="n"/>
      <c r="G356" s="24" t="n"/>
      <c r="H356" s="24" t="n"/>
      <c r="I356" s="22">
        <f>IF(H356="","",LEN(H356))</f>
        <v/>
      </c>
      <c r="J356" s="25">
        <f>IF(D356="","",IFERROR(INDEX(PlatformLimits,MATCH(D356,PlatformNames,0)),""))</f>
        <v/>
      </c>
      <c r="K356" s="24" t="n"/>
      <c r="L356" s="23" t="n"/>
      <c r="M356" s="23" t="n"/>
      <c r="N356" s="23" t="n"/>
      <c r="O356" s="24" t="n"/>
      <c r="P356" s="22">
        <f>IF(AND(D356=ExportPlatform,N356="Ready",A356&lt;&gt;""),COUNTIFS($D$7:D356,ExportPlatform,$N$7:N356,"Ready",$A$7:A356,"&lt;&gt;"),"")</f>
        <v/>
      </c>
    </row>
    <row r="357">
      <c r="A357" s="20" t="n"/>
      <c r="B357" s="21" t="n"/>
      <c r="C357" s="22">
        <f>IF(A357="","",CHOOSE(WEEKDAY(A357,2),"Mon","Tue","Wed","Thu","Fri","Sat","Sun"))</f>
        <v/>
      </c>
      <c r="D357" s="23" t="n"/>
      <c r="E357" s="23" t="n"/>
      <c r="F357" s="23" t="n"/>
      <c r="G357" s="24" t="n"/>
      <c r="H357" s="24" t="n"/>
      <c r="I357" s="22">
        <f>IF(H357="","",LEN(H357))</f>
        <v/>
      </c>
      <c r="J357" s="25">
        <f>IF(D357="","",IFERROR(INDEX(PlatformLimits,MATCH(D357,PlatformNames,0)),""))</f>
        <v/>
      </c>
      <c r="K357" s="24" t="n"/>
      <c r="L357" s="23" t="n"/>
      <c r="M357" s="23" t="n"/>
      <c r="N357" s="23" t="n"/>
      <c r="O357" s="24" t="n"/>
      <c r="P357" s="22">
        <f>IF(AND(D357=ExportPlatform,N357="Ready",A357&lt;&gt;""),COUNTIFS($D$7:D357,ExportPlatform,$N$7:N357,"Ready",$A$7:A357,"&lt;&gt;"),"")</f>
        <v/>
      </c>
    </row>
    <row r="358">
      <c r="A358" s="20" t="n"/>
      <c r="B358" s="21" t="n"/>
      <c r="C358" s="22">
        <f>IF(A358="","",CHOOSE(WEEKDAY(A358,2),"Mon","Tue","Wed","Thu","Fri","Sat","Sun"))</f>
        <v/>
      </c>
      <c r="D358" s="23" t="n"/>
      <c r="E358" s="23" t="n"/>
      <c r="F358" s="23" t="n"/>
      <c r="G358" s="24" t="n"/>
      <c r="H358" s="24" t="n"/>
      <c r="I358" s="22">
        <f>IF(H358="","",LEN(H358))</f>
        <v/>
      </c>
      <c r="J358" s="25">
        <f>IF(D358="","",IFERROR(INDEX(PlatformLimits,MATCH(D358,PlatformNames,0)),""))</f>
        <v/>
      </c>
      <c r="K358" s="24" t="n"/>
      <c r="L358" s="23" t="n"/>
      <c r="M358" s="23" t="n"/>
      <c r="N358" s="23" t="n"/>
      <c r="O358" s="24" t="n"/>
      <c r="P358" s="22">
        <f>IF(AND(D358=ExportPlatform,N358="Ready",A358&lt;&gt;""),COUNTIFS($D$7:D358,ExportPlatform,$N$7:N358,"Ready",$A$7:A358,"&lt;&gt;"),"")</f>
        <v/>
      </c>
    </row>
    <row r="359">
      <c r="A359" s="20" t="n"/>
      <c r="B359" s="21" t="n"/>
      <c r="C359" s="22">
        <f>IF(A359="","",CHOOSE(WEEKDAY(A359,2),"Mon","Tue","Wed","Thu","Fri","Sat","Sun"))</f>
        <v/>
      </c>
      <c r="D359" s="23" t="n"/>
      <c r="E359" s="23" t="n"/>
      <c r="F359" s="23" t="n"/>
      <c r="G359" s="24" t="n"/>
      <c r="H359" s="24" t="n"/>
      <c r="I359" s="22">
        <f>IF(H359="","",LEN(H359))</f>
        <v/>
      </c>
      <c r="J359" s="25">
        <f>IF(D359="","",IFERROR(INDEX(PlatformLimits,MATCH(D359,PlatformNames,0)),""))</f>
        <v/>
      </c>
      <c r="K359" s="24" t="n"/>
      <c r="L359" s="23" t="n"/>
      <c r="M359" s="23" t="n"/>
      <c r="N359" s="23" t="n"/>
      <c r="O359" s="24" t="n"/>
      <c r="P359" s="22">
        <f>IF(AND(D359=ExportPlatform,N359="Ready",A359&lt;&gt;""),COUNTIFS($D$7:D359,ExportPlatform,$N$7:N359,"Ready",$A$7:A359,"&lt;&gt;"),"")</f>
        <v/>
      </c>
    </row>
    <row r="360">
      <c r="A360" s="20" t="n"/>
      <c r="B360" s="21" t="n"/>
      <c r="C360" s="22">
        <f>IF(A360="","",CHOOSE(WEEKDAY(A360,2),"Mon","Tue","Wed","Thu","Fri","Sat","Sun"))</f>
        <v/>
      </c>
      <c r="D360" s="23" t="n"/>
      <c r="E360" s="23" t="n"/>
      <c r="F360" s="23" t="n"/>
      <c r="G360" s="24" t="n"/>
      <c r="H360" s="24" t="n"/>
      <c r="I360" s="22">
        <f>IF(H360="","",LEN(H360))</f>
        <v/>
      </c>
      <c r="J360" s="25">
        <f>IF(D360="","",IFERROR(INDEX(PlatformLimits,MATCH(D360,PlatformNames,0)),""))</f>
        <v/>
      </c>
      <c r="K360" s="24" t="n"/>
      <c r="L360" s="23" t="n"/>
      <c r="M360" s="23" t="n"/>
      <c r="N360" s="23" t="n"/>
      <c r="O360" s="24" t="n"/>
      <c r="P360" s="22">
        <f>IF(AND(D360=ExportPlatform,N360="Ready",A360&lt;&gt;""),COUNTIFS($D$7:D360,ExportPlatform,$N$7:N360,"Ready",$A$7:A360,"&lt;&gt;"),"")</f>
        <v/>
      </c>
    </row>
    <row r="361">
      <c r="A361" s="20" t="n"/>
      <c r="B361" s="21" t="n"/>
      <c r="C361" s="22">
        <f>IF(A361="","",CHOOSE(WEEKDAY(A361,2),"Mon","Tue","Wed","Thu","Fri","Sat","Sun"))</f>
        <v/>
      </c>
      <c r="D361" s="23" t="n"/>
      <c r="E361" s="23" t="n"/>
      <c r="F361" s="23" t="n"/>
      <c r="G361" s="24" t="n"/>
      <c r="H361" s="24" t="n"/>
      <c r="I361" s="22">
        <f>IF(H361="","",LEN(H361))</f>
        <v/>
      </c>
      <c r="J361" s="25">
        <f>IF(D361="","",IFERROR(INDEX(PlatformLimits,MATCH(D361,PlatformNames,0)),""))</f>
        <v/>
      </c>
      <c r="K361" s="24" t="n"/>
      <c r="L361" s="23" t="n"/>
      <c r="M361" s="23" t="n"/>
      <c r="N361" s="23" t="n"/>
      <c r="O361" s="24" t="n"/>
      <c r="P361" s="22">
        <f>IF(AND(D361=ExportPlatform,N361="Ready",A361&lt;&gt;""),COUNTIFS($D$7:D361,ExportPlatform,$N$7:N361,"Ready",$A$7:A361,"&lt;&gt;"),"")</f>
        <v/>
      </c>
    </row>
    <row r="362">
      <c r="A362" s="20" t="n"/>
      <c r="B362" s="21" t="n"/>
      <c r="C362" s="22">
        <f>IF(A362="","",CHOOSE(WEEKDAY(A362,2),"Mon","Tue","Wed","Thu","Fri","Sat","Sun"))</f>
        <v/>
      </c>
      <c r="D362" s="23" t="n"/>
      <c r="E362" s="23" t="n"/>
      <c r="F362" s="23" t="n"/>
      <c r="G362" s="24" t="n"/>
      <c r="H362" s="24" t="n"/>
      <c r="I362" s="22">
        <f>IF(H362="","",LEN(H362))</f>
        <v/>
      </c>
      <c r="J362" s="25">
        <f>IF(D362="","",IFERROR(INDEX(PlatformLimits,MATCH(D362,PlatformNames,0)),""))</f>
        <v/>
      </c>
      <c r="K362" s="24" t="n"/>
      <c r="L362" s="23" t="n"/>
      <c r="M362" s="23" t="n"/>
      <c r="N362" s="23" t="n"/>
      <c r="O362" s="24" t="n"/>
      <c r="P362" s="22">
        <f>IF(AND(D362=ExportPlatform,N362="Ready",A362&lt;&gt;""),COUNTIFS($D$7:D362,ExportPlatform,$N$7:N362,"Ready",$A$7:A362,"&lt;&gt;"),"")</f>
        <v/>
      </c>
    </row>
    <row r="363">
      <c r="A363" s="20" t="n"/>
      <c r="B363" s="21" t="n"/>
      <c r="C363" s="22">
        <f>IF(A363="","",CHOOSE(WEEKDAY(A363,2),"Mon","Tue","Wed","Thu","Fri","Sat","Sun"))</f>
        <v/>
      </c>
      <c r="D363" s="23" t="n"/>
      <c r="E363" s="23" t="n"/>
      <c r="F363" s="23" t="n"/>
      <c r="G363" s="24" t="n"/>
      <c r="H363" s="24" t="n"/>
      <c r="I363" s="22">
        <f>IF(H363="","",LEN(H363))</f>
        <v/>
      </c>
      <c r="J363" s="25">
        <f>IF(D363="","",IFERROR(INDEX(PlatformLimits,MATCH(D363,PlatformNames,0)),""))</f>
        <v/>
      </c>
      <c r="K363" s="24" t="n"/>
      <c r="L363" s="23" t="n"/>
      <c r="M363" s="23" t="n"/>
      <c r="N363" s="23" t="n"/>
      <c r="O363" s="24" t="n"/>
      <c r="P363" s="22">
        <f>IF(AND(D363=ExportPlatform,N363="Ready",A363&lt;&gt;""),COUNTIFS($D$7:D363,ExportPlatform,$N$7:N363,"Ready",$A$7:A363,"&lt;&gt;"),"")</f>
        <v/>
      </c>
    </row>
    <row r="364">
      <c r="A364" s="20" t="n"/>
      <c r="B364" s="21" t="n"/>
      <c r="C364" s="22">
        <f>IF(A364="","",CHOOSE(WEEKDAY(A364,2),"Mon","Tue","Wed","Thu","Fri","Sat","Sun"))</f>
        <v/>
      </c>
      <c r="D364" s="23" t="n"/>
      <c r="E364" s="23" t="n"/>
      <c r="F364" s="23" t="n"/>
      <c r="G364" s="24" t="n"/>
      <c r="H364" s="24" t="n"/>
      <c r="I364" s="22">
        <f>IF(H364="","",LEN(H364))</f>
        <v/>
      </c>
      <c r="J364" s="25">
        <f>IF(D364="","",IFERROR(INDEX(PlatformLimits,MATCH(D364,PlatformNames,0)),""))</f>
        <v/>
      </c>
      <c r="K364" s="24" t="n"/>
      <c r="L364" s="23" t="n"/>
      <c r="M364" s="23" t="n"/>
      <c r="N364" s="23" t="n"/>
      <c r="O364" s="24" t="n"/>
      <c r="P364" s="22">
        <f>IF(AND(D364=ExportPlatform,N364="Ready",A364&lt;&gt;""),COUNTIFS($D$7:D364,ExportPlatform,$N$7:N364,"Ready",$A$7:A364,"&lt;&gt;"),"")</f>
        <v/>
      </c>
    </row>
    <row r="365">
      <c r="A365" s="20" t="n"/>
      <c r="B365" s="21" t="n"/>
      <c r="C365" s="22">
        <f>IF(A365="","",CHOOSE(WEEKDAY(A365,2),"Mon","Tue","Wed","Thu","Fri","Sat","Sun"))</f>
        <v/>
      </c>
      <c r="D365" s="23" t="n"/>
      <c r="E365" s="23" t="n"/>
      <c r="F365" s="23" t="n"/>
      <c r="G365" s="24" t="n"/>
      <c r="H365" s="24" t="n"/>
      <c r="I365" s="22">
        <f>IF(H365="","",LEN(H365))</f>
        <v/>
      </c>
      <c r="J365" s="25">
        <f>IF(D365="","",IFERROR(INDEX(PlatformLimits,MATCH(D365,PlatformNames,0)),""))</f>
        <v/>
      </c>
      <c r="K365" s="24" t="n"/>
      <c r="L365" s="23" t="n"/>
      <c r="M365" s="23" t="n"/>
      <c r="N365" s="23" t="n"/>
      <c r="O365" s="24" t="n"/>
      <c r="P365" s="22">
        <f>IF(AND(D365=ExportPlatform,N365="Ready",A365&lt;&gt;""),COUNTIFS($D$7:D365,ExportPlatform,$N$7:N365,"Ready",$A$7:A365,"&lt;&gt;"),"")</f>
        <v/>
      </c>
    </row>
    <row r="366">
      <c r="A366" s="20" t="n"/>
      <c r="B366" s="21" t="n"/>
      <c r="C366" s="22">
        <f>IF(A366="","",CHOOSE(WEEKDAY(A366,2),"Mon","Tue","Wed","Thu","Fri","Sat","Sun"))</f>
        <v/>
      </c>
      <c r="D366" s="23" t="n"/>
      <c r="E366" s="23" t="n"/>
      <c r="F366" s="23" t="n"/>
      <c r="G366" s="24" t="n"/>
      <c r="H366" s="24" t="n"/>
      <c r="I366" s="22">
        <f>IF(H366="","",LEN(H366))</f>
        <v/>
      </c>
      <c r="J366" s="25">
        <f>IF(D366="","",IFERROR(INDEX(PlatformLimits,MATCH(D366,PlatformNames,0)),""))</f>
        <v/>
      </c>
      <c r="K366" s="24" t="n"/>
      <c r="L366" s="23" t="n"/>
      <c r="M366" s="23" t="n"/>
      <c r="N366" s="23" t="n"/>
      <c r="O366" s="24" t="n"/>
      <c r="P366" s="22">
        <f>IF(AND(D366=ExportPlatform,N366="Ready",A366&lt;&gt;""),COUNTIFS($D$7:D366,ExportPlatform,$N$7:N366,"Ready",$A$7:A366,"&lt;&gt;"),"")</f>
        <v/>
      </c>
    </row>
    <row r="367">
      <c r="A367" s="20" t="n"/>
      <c r="B367" s="21" t="n"/>
      <c r="C367" s="22">
        <f>IF(A367="","",CHOOSE(WEEKDAY(A367,2),"Mon","Tue","Wed","Thu","Fri","Sat","Sun"))</f>
        <v/>
      </c>
      <c r="D367" s="23" t="n"/>
      <c r="E367" s="23" t="n"/>
      <c r="F367" s="23" t="n"/>
      <c r="G367" s="24" t="n"/>
      <c r="H367" s="24" t="n"/>
      <c r="I367" s="22">
        <f>IF(H367="","",LEN(H367))</f>
        <v/>
      </c>
      <c r="J367" s="25">
        <f>IF(D367="","",IFERROR(INDEX(PlatformLimits,MATCH(D367,PlatformNames,0)),""))</f>
        <v/>
      </c>
      <c r="K367" s="24" t="n"/>
      <c r="L367" s="23" t="n"/>
      <c r="M367" s="23" t="n"/>
      <c r="N367" s="23" t="n"/>
      <c r="O367" s="24" t="n"/>
      <c r="P367" s="22">
        <f>IF(AND(D367=ExportPlatform,N367="Ready",A367&lt;&gt;""),COUNTIFS($D$7:D367,ExportPlatform,$N$7:N367,"Ready",$A$7:A367,"&lt;&gt;"),"")</f>
        <v/>
      </c>
    </row>
    <row r="368">
      <c r="A368" s="20" t="n"/>
      <c r="B368" s="21" t="n"/>
      <c r="C368" s="22">
        <f>IF(A368="","",CHOOSE(WEEKDAY(A368,2),"Mon","Tue","Wed","Thu","Fri","Sat","Sun"))</f>
        <v/>
      </c>
      <c r="D368" s="23" t="n"/>
      <c r="E368" s="23" t="n"/>
      <c r="F368" s="23" t="n"/>
      <c r="G368" s="24" t="n"/>
      <c r="H368" s="24" t="n"/>
      <c r="I368" s="22">
        <f>IF(H368="","",LEN(H368))</f>
        <v/>
      </c>
      <c r="J368" s="25">
        <f>IF(D368="","",IFERROR(INDEX(PlatformLimits,MATCH(D368,PlatformNames,0)),""))</f>
        <v/>
      </c>
      <c r="K368" s="24" t="n"/>
      <c r="L368" s="23" t="n"/>
      <c r="M368" s="23" t="n"/>
      <c r="N368" s="23" t="n"/>
      <c r="O368" s="24" t="n"/>
      <c r="P368" s="22">
        <f>IF(AND(D368=ExportPlatform,N368="Ready",A368&lt;&gt;""),COUNTIFS($D$7:D368,ExportPlatform,$N$7:N368,"Ready",$A$7:A368,"&lt;&gt;"),"")</f>
        <v/>
      </c>
    </row>
    <row r="369">
      <c r="A369" s="20" t="n"/>
      <c r="B369" s="21" t="n"/>
      <c r="C369" s="22">
        <f>IF(A369="","",CHOOSE(WEEKDAY(A369,2),"Mon","Tue","Wed","Thu","Fri","Sat","Sun"))</f>
        <v/>
      </c>
      <c r="D369" s="23" t="n"/>
      <c r="E369" s="23" t="n"/>
      <c r="F369" s="23" t="n"/>
      <c r="G369" s="24" t="n"/>
      <c r="H369" s="24" t="n"/>
      <c r="I369" s="22">
        <f>IF(H369="","",LEN(H369))</f>
        <v/>
      </c>
      <c r="J369" s="25">
        <f>IF(D369="","",IFERROR(INDEX(PlatformLimits,MATCH(D369,PlatformNames,0)),""))</f>
        <v/>
      </c>
      <c r="K369" s="24" t="n"/>
      <c r="L369" s="23" t="n"/>
      <c r="M369" s="23" t="n"/>
      <c r="N369" s="23" t="n"/>
      <c r="O369" s="24" t="n"/>
      <c r="P369" s="22">
        <f>IF(AND(D369=ExportPlatform,N369="Ready",A369&lt;&gt;""),COUNTIFS($D$7:D369,ExportPlatform,$N$7:N369,"Ready",$A$7:A369,"&lt;&gt;"),"")</f>
        <v/>
      </c>
    </row>
    <row r="370">
      <c r="A370" s="20" t="n"/>
      <c r="B370" s="21" t="n"/>
      <c r="C370" s="22">
        <f>IF(A370="","",CHOOSE(WEEKDAY(A370,2),"Mon","Tue","Wed","Thu","Fri","Sat","Sun"))</f>
        <v/>
      </c>
      <c r="D370" s="23" t="n"/>
      <c r="E370" s="23" t="n"/>
      <c r="F370" s="23" t="n"/>
      <c r="G370" s="24" t="n"/>
      <c r="H370" s="24" t="n"/>
      <c r="I370" s="22">
        <f>IF(H370="","",LEN(H370))</f>
        <v/>
      </c>
      <c r="J370" s="25">
        <f>IF(D370="","",IFERROR(INDEX(PlatformLimits,MATCH(D370,PlatformNames,0)),""))</f>
        <v/>
      </c>
      <c r="K370" s="24" t="n"/>
      <c r="L370" s="23" t="n"/>
      <c r="M370" s="23" t="n"/>
      <c r="N370" s="23" t="n"/>
      <c r="O370" s="24" t="n"/>
      <c r="P370" s="22">
        <f>IF(AND(D370=ExportPlatform,N370="Ready",A370&lt;&gt;""),COUNTIFS($D$7:D370,ExportPlatform,$N$7:N370,"Ready",$A$7:A370,"&lt;&gt;"),"")</f>
        <v/>
      </c>
    </row>
    <row r="371">
      <c r="A371" s="20" t="n"/>
      <c r="B371" s="21" t="n"/>
      <c r="C371" s="22">
        <f>IF(A371="","",CHOOSE(WEEKDAY(A371,2),"Mon","Tue","Wed","Thu","Fri","Sat","Sun"))</f>
        <v/>
      </c>
      <c r="D371" s="23" t="n"/>
      <c r="E371" s="23" t="n"/>
      <c r="F371" s="23" t="n"/>
      <c r="G371" s="24" t="n"/>
      <c r="H371" s="24" t="n"/>
      <c r="I371" s="22">
        <f>IF(H371="","",LEN(H371))</f>
        <v/>
      </c>
      <c r="J371" s="25">
        <f>IF(D371="","",IFERROR(INDEX(PlatformLimits,MATCH(D371,PlatformNames,0)),""))</f>
        <v/>
      </c>
      <c r="K371" s="24" t="n"/>
      <c r="L371" s="23" t="n"/>
      <c r="M371" s="23" t="n"/>
      <c r="N371" s="23" t="n"/>
      <c r="O371" s="24" t="n"/>
      <c r="P371" s="22">
        <f>IF(AND(D371=ExportPlatform,N371="Ready",A371&lt;&gt;""),COUNTIFS($D$7:D371,ExportPlatform,$N$7:N371,"Ready",$A$7:A371,"&lt;&gt;"),"")</f>
        <v/>
      </c>
    </row>
    <row r="372">
      <c r="A372" s="20" t="n"/>
      <c r="B372" s="21" t="n"/>
      <c r="C372" s="22">
        <f>IF(A372="","",CHOOSE(WEEKDAY(A372,2),"Mon","Tue","Wed","Thu","Fri","Sat","Sun"))</f>
        <v/>
      </c>
      <c r="D372" s="23" t="n"/>
      <c r="E372" s="23" t="n"/>
      <c r="F372" s="23" t="n"/>
      <c r="G372" s="24" t="n"/>
      <c r="H372" s="24" t="n"/>
      <c r="I372" s="22">
        <f>IF(H372="","",LEN(H372))</f>
        <v/>
      </c>
      <c r="J372" s="25">
        <f>IF(D372="","",IFERROR(INDEX(PlatformLimits,MATCH(D372,PlatformNames,0)),""))</f>
        <v/>
      </c>
      <c r="K372" s="24" t="n"/>
      <c r="L372" s="23" t="n"/>
      <c r="M372" s="23" t="n"/>
      <c r="N372" s="23" t="n"/>
      <c r="O372" s="24" t="n"/>
      <c r="P372" s="22">
        <f>IF(AND(D372=ExportPlatform,N372="Ready",A372&lt;&gt;""),COUNTIFS($D$7:D372,ExportPlatform,$N$7:N372,"Ready",$A$7:A372,"&lt;&gt;"),"")</f>
        <v/>
      </c>
    </row>
    <row r="373">
      <c r="A373" s="20" t="n"/>
      <c r="B373" s="21" t="n"/>
      <c r="C373" s="22">
        <f>IF(A373="","",CHOOSE(WEEKDAY(A373,2),"Mon","Tue","Wed","Thu","Fri","Sat","Sun"))</f>
        <v/>
      </c>
      <c r="D373" s="23" t="n"/>
      <c r="E373" s="23" t="n"/>
      <c r="F373" s="23" t="n"/>
      <c r="G373" s="24" t="n"/>
      <c r="H373" s="24" t="n"/>
      <c r="I373" s="22">
        <f>IF(H373="","",LEN(H373))</f>
        <v/>
      </c>
      <c r="J373" s="25">
        <f>IF(D373="","",IFERROR(INDEX(PlatformLimits,MATCH(D373,PlatformNames,0)),""))</f>
        <v/>
      </c>
      <c r="K373" s="24" t="n"/>
      <c r="L373" s="23" t="n"/>
      <c r="M373" s="23" t="n"/>
      <c r="N373" s="23" t="n"/>
      <c r="O373" s="24" t="n"/>
      <c r="P373" s="22">
        <f>IF(AND(D373=ExportPlatform,N373="Ready",A373&lt;&gt;""),COUNTIFS($D$7:D373,ExportPlatform,$N$7:N373,"Ready",$A$7:A373,"&lt;&gt;"),"")</f>
        <v/>
      </c>
    </row>
    <row r="374">
      <c r="A374" s="20" t="n"/>
      <c r="B374" s="21" t="n"/>
      <c r="C374" s="22">
        <f>IF(A374="","",CHOOSE(WEEKDAY(A374,2),"Mon","Tue","Wed","Thu","Fri","Sat","Sun"))</f>
        <v/>
      </c>
      <c r="D374" s="23" t="n"/>
      <c r="E374" s="23" t="n"/>
      <c r="F374" s="23" t="n"/>
      <c r="G374" s="24" t="n"/>
      <c r="H374" s="24" t="n"/>
      <c r="I374" s="22">
        <f>IF(H374="","",LEN(H374))</f>
        <v/>
      </c>
      <c r="J374" s="25">
        <f>IF(D374="","",IFERROR(INDEX(PlatformLimits,MATCH(D374,PlatformNames,0)),""))</f>
        <v/>
      </c>
      <c r="K374" s="24" t="n"/>
      <c r="L374" s="23" t="n"/>
      <c r="M374" s="23" t="n"/>
      <c r="N374" s="23" t="n"/>
      <c r="O374" s="24" t="n"/>
      <c r="P374" s="22">
        <f>IF(AND(D374=ExportPlatform,N374="Ready",A374&lt;&gt;""),COUNTIFS($D$7:D374,ExportPlatform,$N$7:N374,"Ready",$A$7:A374,"&lt;&gt;"),"")</f>
        <v/>
      </c>
    </row>
    <row r="375">
      <c r="A375" s="20" t="n"/>
      <c r="B375" s="21" t="n"/>
      <c r="C375" s="22">
        <f>IF(A375="","",CHOOSE(WEEKDAY(A375,2),"Mon","Tue","Wed","Thu","Fri","Sat","Sun"))</f>
        <v/>
      </c>
      <c r="D375" s="23" t="n"/>
      <c r="E375" s="23" t="n"/>
      <c r="F375" s="23" t="n"/>
      <c r="G375" s="24" t="n"/>
      <c r="H375" s="24" t="n"/>
      <c r="I375" s="22">
        <f>IF(H375="","",LEN(H375))</f>
        <v/>
      </c>
      <c r="J375" s="25">
        <f>IF(D375="","",IFERROR(INDEX(PlatformLimits,MATCH(D375,PlatformNames,0)),""))</f>
        <v/>
      </c>
      <c r="K375" s="24" t="n"/>
      <c r="L375" s="23" t="n"/>
      <c r="M375" s="23" t="n"/>
      <c r="N375" s="23" t="n"/>
      <c r="O375" s="24" t="n"/>
      <c r="P375" s="22">
        <f>IF(AND(D375=ExportPlatform,N375="Ready",A375&lt;&gt;""),COUNTIFS($D$7:D375,ExportPlatform,$N$7:N375,"Ready",$A$7:A375,"&lt;&gt;"),"")</f>
        <v/>
      </c>
    </row>
    <row r="376">
      <c r="A376" s="20" t="n"/>
      <c r="B376" s="21" t="n"/>
      <c r="C376" s="22">
        <f>IF(A376="","",CHOOSE(WEEKDAY(A376,2),"Mon","Tue","Wed","Thu","Fri","Sat","Sun"))</f>
        <v/>
      </c>
      <c r="D376" s="23" t="n"/>
      <c r="E376" s="23" t="n"/>
      <c r="F376" s="23" t="n"/>
      <c r="G376" s="24" t="n"/>
      <c r="H376" s="24" t="n"/>
      <c r="I376" s="22">
        <f>IF(H376="","",LEN(H376))</f>
        <v/>
      </c>
      <c r="J376" s="25">
        <f>IF(D376="","",IFERROR(INDEX(PlatformLimits,MATCH(D376,PlatformNames,0)),""))</f>
        <v/>
      </c>
      <c r="K376" s="24" t="n"/>
      <c r="L376" s="23" t="n"/>
      <c r="M376" s="23" t="n"/>
      <c r="N376" s="23" t="n"/>
      <c r="O376" s="24" t="n"/>
      <c r="P376" s="22">
        <f>IF(AND(D376=ExportPlatform,N376="Ready",A376&lt;&gt;""),COUNTIFS($D$7:D376,ExportPlatform,$N$7:N376,"Ready",$A$7:A376,"&lt;&gt;"),"")</f>
        <v/>
      </c>
    </row>
    <row r="377">
      <c r="A377" s="20" t="n"/>
      <c r="B377" s="21" t="n"/>
      <c r="C377" s="22">
        <f>IF(A377="","",CHOOSE(WEEKDAY(A377,2),"Mon","Tue","Wed","Thu","Fri","Sat","Sun"))</f>
        <v/>
      </c>
      <c r="D377" s="23" t="n"/>
      <c r="E377" s="23" t="n"/>
      <c r="F377" s="23" t="n"/>
      <c r="G377" s="24" t="n"/>
      <c r="H377" s="24" t="n"/>
      <c r="I377" s="22">
        <f>IF(H377="","",LEN(H377))</f>
        <v/>
      </c>
      <c r="J377" s="25">
        <f>IF(D377="","",IFERROR(INDEX(PlatformLimits,MATCH(D377,PlatformNames,0)),""))</f>
        <v/>
      </c>
      <c r="K377" s="24" t="n"/>
      <c r="L377" s="23" t="n"/>
      <c r="M377" s="23" t="n"/>
      <c r="N377" s="23" t="n"/>
      <c r="O377" s="24" t="n"/>
      <c r="P377" s="22">
        <f>IF(AND(D377=ExportPlatform,N377="Ready",A377&lt;&gt;""),COUNTIFS($D$7:D377,ExportPlatform,$N$7:N377,"Ready",$A$7:A377,"&lt;&gt;"),"")</f>
        <v/>
      </c>
    </row>
    <row r="378">
      <c r="A378" s="20" t="n"/>
      <c r="B378" s="21" t="n"/>
      <c r="C378" s="22">
        <f>IF(A378="","",CHOOSE(WEEKDAY(A378,2),"Mon","Tue","Wed","Thu","Fri","Sat","Sun"))</f>
        <v/>
      </c>
      <c r="D378" s="23" t="n"/>
      <c r="E378" s="23" t="n"/>
      <c r="F378" s="23" t="n"/>
      <c r="G378" s="24" t="n"/>
      <c r="H378" s="24" t="n"/>
      <c r="I378" s="22">
        <f>IF(H378="","",LEN(H378))</f>
        <v/>
      </c>
      <c r="J378" s="25">
        <f>IF(D378="","",IFERROR(INDEX(PlatformLimits,MATCH(D378,PlatformNames,0)),""))</f>
        <v/>
      </c>
      <c r="K378" s="24" t="n"/>
      <c r="L378" s="23" t="n"/>
      <c r="M378" s="23" t="n"/>
      <c r="N378" s="23" t="n"/>
      <c r="O378" s="24" t="n"/>
      <c r="P378" s="22">
        <f>IF(AND(D378=ExportPlatform,N378="Ready",A378&lt;&gt;""),COUNTIFS($D$7:D378,ExportPlatform,$N$7:N378,"Ready",$A$7:A378,"&lt;&gt;"),"")</f>
        <v/>
      </c>
    </row>
    <row r="379">
      <c r="A379" s="20" t="n"/>
      <c r="B379" s="21" t="n"/>
      <c r="C379" s="22">
        <f>IF(A379="","",CHOOSE(WEEKDAY(A379,2),"Mon","Tue","Wed","Thu","Fri","Sat","Sun"))</f>
        <v/>
      </c>
      <c r="D379" s="23" t="n"/>
      <c r="E379" s="23" t="n"/>
      <c r="F379" s="23" t="n"/>
      <c r="G379" s="24" t="n"/>
      <c r="H379" s="24" t="n"/>
      <c r="I379" s="22">
        <f>IF(H379="","",LEN(H379))</f>
        <v/>
      </c>
      <c r="J379" s="25">
        <f>IF(D379="","",IFERROR(INDEX(PlatformLimits,MATCH(D379,PlatformNames,0)),""))</f>
        <v/>
      </c>
      <c r="K379" s="24" t="n"/>
      <c r="L379" s="23" t="n"/>
      <c r="M379" s="23" t="n"/>
      <c r="N379" s="23" t="n"/>
      <c r="O379" s="24" t="n"/>
      <c r="P379" s="22">
        <f>IF(AND(D379=ExportPlatform,N379="Ready",A379&lt;&gt;""),COUNTIFS($D$7:D379,ExportPlatform,$N$7:N379,"Ready",$A$7:A379,"&lt;&gt;"),"")</f>
        <v/>
      </c>
    </row>
    <row r="380">
      <c r="A380" s="20" t="n"/>
      <c r="B380" s="21" t="n"/>
      <c r="C380" s="22">
        <f>IF(A380="","",CHOOSE(WEEKDAY(A380,2),"Mon","Tue","Wed","Thu","Fri","Sat","Sun"))</f>
        <v/>
      </c>
      <c r="D380" s="23" t="n"/>
      <c r="E380" s="23" t="n"/>
      <c r="F380" s="23" t="n"/>
      <c r="G380" s="24" t="n"/>
      <c r="H380" s="24" t="n"/>
      <c r="I380" s="22">
        <f>IF(H380="","",LEN(H380))</f>
        <v/>
      </c>
      <c r="J380" s="25">
        <f>IF(D380="","",IFERROR(INDEX(PlatformLimits,MATCH(D380,PlatformNames,0)),""))</f>
        <v/>
      </c>
      <c r="K380" s="24" t="n"/>
      <c r="L380" s="23" t="n"/>
      <c r="M380" s="23" t="n"/>
      <c r="N380" s="23" t="n"/>
      <c r="O380" s="24" t="n"/>
      <c r="P380" s="22">
        <f>IF(AND(D380=ExportPlatform,N380="Ready",A380&lt;&gt;""),COUNTIFS($D$7:D380,ExportPlatform,$N$7:N380,"Ready",$A$7:A380,"&lt;&gt;"),"")</f>
        <v/>
      </c>
    </row>
    <row r="381">
      <c r="A381" s="20" t="n"/>
      <c r="B381" s="21" t="n"/>
      <c r="C381" s="22">
        <f>IF(A381="","",CHOOSE(WEEKDAY(A381,2),"Mon","Tue","Wed","Thu","Fri","Sat","Sun"))</f>
        <v/>
      </c>
      <c r="D381" s="23" t="n"/>
      <c r="E381" s="23" t="n"/>
      <c r="F381" s="23" t="n"/>
      <c r="G381" s="24" t="n"/>
      <c r="H381" s="24" t="n"/>
      <c r="I381" s="22">
        <f>IF(H381="","",LEN(H381))</f>
        <v/>
      </c>
      <c r="J381" s="25">
        <f>IF(D381="","",IFERROR(INDEX(PlatformLimits,MATCH(D381,PlatformNames,0)),""))</f>
        <v/>
      </c>
      <c r="K381" s="24" t="n"/>
      <c r="L381" s="23" t="n"/>
      <c r="M381" s="23" t="n"/>
      <c r="N381" s="23" t="n"/>
      <c r="O381" s="24" t="n"/>
      <c r="P381" s="22">
        <f>IF(AND(D381=ExportPlatform,N381="Ready",A381&lt;&gt;""),COUNTIFS($D$7:D381,ExportPlatform,$N$7:N381,"Ready",$A$7:A381,"&lt;&gt;"),"")</f>
        <v/>
      </c>
    </row>
    <row r="382">
      <c r="A382" s="20" t="n"/>
      <c r="B382" s="21" t="n"/>
      <c r="C382" s="22">
        <f>IF(A382="","",CHOOSE(WEEKDAY(A382,2),"Mon","Tue","Wed","Thu","Fri","Sat","Sun"))</f>
        <v/>
      </c>
      <c r="D382" s="23" t="n"/>
      <c r="E382" s="23" t="n"/>
      <c r="F382" s="23" t="n"/>
      <c r="G382" s="24" t="n"/>
      <c r="H382" s="24" t="n"/>
      <c r="I382" s="22">
        <f>IF(H382="","",LEN(H382))</f>
        <v/>
      </c>
      <c r="J382" s="25">
        <f>IF(D382="","",IFERROR(INDEX(PlatformLimits,MATCH(D382,PlatformNames,0)),""))</f>
        <v/>
      </c>
      <c r="K382" s="24" t="n"/>
      <c r="L382" s="23" t="n"/>
      <c r="M382" s="23" t="n"/>
      <c r="N382" s="23" t="n"/>
      <c r="O382" s="24" t="n"/>
      <c r="P382" s="22">
        <f>IF(AND(D382=ExportPlatform,N382="Ready",A382&lt;&gt;""),COUNTIFS($D$7:D382,ExportPlatform,$N$7:N382,"Ready",$A$7:A382,"&lt;&gt;"),"")</f>
        <v/>
      </c>
    </row>
    <row r="383">
      <c r="A383" s="20" t="n"/>
      <c r="B383" s="21" t="n"/>
      <c r="C383" s="22">
        <f>IF(A383="","",CHOOSE(WEEKDAY(A383,2),"Mon","Tue","Wed","Thu","Fri","Sat","Sun"))</f>
        <v/>
      </c>
      <c r="D383" s="23" t="n"/>
      <c r="E383" s="23" t="n"/>
      <c r="F383" s="23" t="n"/>
      <c r="G383" s="24" t="n"/>
      <c r="H383" s="24" t="n"/>
      <c r="I383" s="22">
        <f>IF(H383="","",LEN(H383))</f>
        <v/>
      </c>
      <c r="J383" s="25">
        <f>IF(D383="","",IFERROR(INDEX(PlatformLimits,MATCH(D383,PlatformNames,0)),""))</f>
        <v/>
      </c>
      <c r="K383" s="24" t="n"/>
      <c r="L383" s="23" t="n"/>
      <c r="M383" s="23" t="n"/>
      <c r="N383" s="23" t="n"/>
      <c r="O383" s="24" t="n"/>
      <c r="P383" s="22">
        <f>IF(AND(D383=ExportPlatform,N383="Ready",A383&lt;&gt;""),COUNTIFS($D$7:D383,ExportPlatform,$N$7:N383,"Ready",$A$7:A383,"&lt;&gt;"),"")</f>
        <v/>
      </c>
    </row>
    <row r="384">
      <c r="A384" s="20" t="n"/>
      <c r="B384" s="21" t="n"/>
      <c r="C384" s="22">
        <f>IF(A384="","",CHOOSE(WEEKDAY(A384,2),"Mon","Tue","Wed","Thu","Fri","Sat","Sun"))</f>
        <v/>
      </c>
      <c r="D384" s="23" t="n"/>
      <c r="E384" s="23" t="n"/>
      <c r="F384" s="23" t="n"/>
      <c r="G384" s="24" t="n"/>
      <c r="H384" s="24" t="n"/>
      <c r="I384" s="22">
        <f>IF(H384="","",LEN(H384))</f>
        <v/>
      </c>
      <c r="J384" s="25">
        <f>IF(D384="","",IFERROR(INDEX(PlatformLimits,MATCH(D384,PlatformNames,0)),""))</f>
        <v/>
      </c>
      <c r="K384" s="24" t="n"/>
      <c r="L384" s="23" t="n"/>
      <c r="M384" s="23" t="n"/>
      <c r="N384" s="23" t="n"/>
      <c r="O384" s="24" t="n"/>
      <c r="P384" s="22">
        <f>IF(AND(D384=ExportPlatform,N384="Ready",A384&lt;&gt;""),COUNTIFS($D$7:D384,ExportPlatform,$N$7:N384,"Ready",$A$7:A384,"&lt;&gt;"),"")</f>
        <v/>
      </c>
    </row>
    <row r="385">
      <c r="A385" s="20" t="n"/>
      <c r="B385" s="21" t="n"/>
      <c r="C385" s="22">
        <f>IF(A385="","",CHOOSE(WEEKDAY(A385,2),"Mon","Tue","Wed","Thu","Fri","Sat","Sun"))</f>
        <v/>
      </c>
      <c r="D385" s="23" t="n"/>
      <c r="E385" s="23" t="n"/>
      <c r="F385" s="23" t="n"/>
      <c r="G385" s="24" t="n"/>
      <c r="H385" s="24" t="n"/>
      <c r="I385" s="22">
        <f>IF(H385="","",LEN(H385))</f>
        <v/>
      </c>
      <c r="J385" s="25">
        <f>IF(D385="","",IFERROR(INDEX(PlatformLimits,MATCH(D385,PlatformNames,0)),""))</f>
        <v/>
      </c>
      <c r="K385" s="24" t="n"/>
      <c r="L385" s="23" t="n"/>
      <c r="M385" s="23" t="n"/>
      <c r="N385" s="23" t="n"/>
      <c r="O385" s="24" t="n"/>
      <c r="P385" s="22">
        <f>IF(AND(D385=ExportPlatform,N385="Ready",A385&lt;&gt;""),COUNTIFS($D$7:D385,ExportPlatform,$N$7:N385,"Ready",$A$7:A385,"&lt;&gt;"),"")</f>
        <v/>
      </c>
    </row>
    <row r="386">
      <c r="A386" s="20" t="n"/>
      <c r="B386" s="21" t="n"/>
      <c r="C386" s="22">
        <f>IF(A386="","",CHOOSE(WEEKDAY(A386,2),"Mon","Tue","Wed","Thu","Fri","Sat","Sun"))</f>
        <v/>
      </c>
      <c r="D386" s="23" t="n"/>
      <c r="E386" s="23" t="n"/>
      <c r="F386" s="23" t="n"/>
      <c r="G386" s="24" t="n"/>
      <c r="H386" s="24" t="n"/>
      <c r="I386" s="22">
        <f>IF(H386="","",LEN(H386))</f>
        <v/>
      </c>
      <c r="J386" s="25">
        <f>IF(D386="","",IFERROR(INDEX(PlatformLimits,MATCH(D386,PlatformNames,0)),""))</f>
        <v/>
      </c>
      <c r="K386" s="24" t="n"/>
      <c r="L386" s="23" t="n"/>
      <c r="M386" s="23" t="n"/>
      <c r="N386" s="23" t="n"/>
      <c r="O386" s="24" t="n"/>
      <c r="P386" s="22">
        <f>IF(AND(D386=ExportPlatform,N386="Ready",A386&lt;&gt;""),COUNTIFS($D$7:D386,ExportPlatform,$N$7:N386,"Ready",$A$7:A386,"&lt;&gt;"),"")</f>
        <v/>
      </c>
    </row>
    <row r="387">
      <c r="A387" s="20" t="n"/>
      <c r="B387" s="21" t="n"/>
      <c r="C387" s="22">
        <f>IF(A387="","",CHOOSE(WEEKDAY(A387,2),"Mon","Tue","Wed","Thu","Fri","Sat","Sun"))</f>
        <v/>
      </c>
      <c r="D387" s="23" t="n"/>
      <c r="E387" s="23" t="n"/>
      <c r="F387" s="23" t="n"/>
      <c r="G387" s="24" t="n"/>
      <c r="H387" s="24" t="n"/>
      <c r="I387" s="22">
        <f>IF(H387="","",LEN(H387))</f>
        <v/>
      </c>
      <c r="J387" s="25">
        <f>IF(D387="","",IFERROR(INDEX(PlatformLimits,MATCH(D387,PlatformNames,0)),""))</f>
        <v/>
      </c>
      <c r="K387" s="24" t="n"/>
      <c r="L387" s="23" t="n"/>
      <c r="M387" s="23" t="n"/>
      <c r="N387" s="23" t="n"/>
      <c r="O387" s="24" t="n"/>
      <c r="P387" s="22">
        <f>IF(AND(D387=ExportPlatform,N387="Ready",A387&lt;&gt;""),COUNTIFS($D$7:D387,ExportPlatform,$N$7:N387,"Ready",$A$7:A387,"&lt;&gt;"),"")</f>
        <v/>
      </c>
    </row>
    <row r="388">
      <c r="A388" s="20" t="n"/>
      <c r="B388" s="21" t="n"/>
      <c r="C388" s="22">
        <f>IF(A388="","",CHOOSE(WEEKDAY(A388,2),"Mon","Tue","Wed","Thu","Fri","Sat","Sun"))</f>
        <v/>
      </c>
      <c r="D388" s="23" t="n"/>
      <c r="E388" s="23" t="n"/>
      <c r="F388" s="23" t="n"/>
      <c r="G388" s="24" t="n"/>
      <c r="H388" s="24" t="n"/>
      <c r="I388" s="22">
        <f>IF(H388="","",LEN(H388))</f>
        <v/>
      </c>
      <c r="J388" s="25">
        <f>IF(D388="","",IFERROR(INDEX(PlatformLimits,MATCH(D388,PlatformNames,0)),""))</f>
        <v/>
      </c>
      <c r="K388" s="24" t="n"/>
      <c r="L388" s="23" t="n"/>
      <c r="M388" s="23" t="n"/>
      <c r="N388" s="23" t="n"/>
      <c r="O388" s="24" t="n"/>
      <c r="P388" s="22">
        <f>IF(AND(D388=ExportPlatform,N388="Ready",A388&lt;&gt;""),COUNTIFS($D$7:D388,ExportPlatform,$N$7:N388,"Ready",$A$7:A388,"&lt;&gt;"),"")</f>
        <v/>
      </c>
    </row>
    <row r="389">
      <c r="A389" s="20" t="n"/>
      <c r="B389" s="21" t="n"/>
      <c r="C389" s="22">
        <f>IF(A389="","",CHOOSE(WEEKDAY(A389,2),"Mon","Tue","Wed","Thu","Fri","Sat","Sun"))</f>
        <v/>
      </c>
      <c r="D389" s="23" t="n"/>
      <c r="E389" s="23" t="n"/>
      <c r="F389" s="23" t="n"/>
      <c r="G389" s="24" t="n"/>
      <c r="H389" s="24" t="n"/>
      <c r="I389" s="22">
        <f>IF(H389="","",LEN(H389))</f>
        <v/>
      </c>
      <c r="J389" s="25">
        <f>IF(D389="","",IFERROR(INDEX(PlatformLimits,MATCH(D389,PlatformNames,0)),""))</f>
        <v/>
      </c>
      <c r="K389" s="24" t="n"/>
      <c r="L389" s="23" t="n"/>
      <c r="M389" s="23" t="n"/>
      <c r="N389" s="23" t="n"/>
      <c r="O389" s="24" t="n"/>
      <c r="P389" s="22">
        <f>IF(AND(D389=ExportPlatform,N389="Ready",A389&lt;&gt;""),COUNTIFS($D$7:D389,ExportPlatform,$N$7:N389,"Ready",$A$7:A389,"&lt;&gt;"),"")</f>
        <v/>
      </c>
    </row>
    <row r="390">
      <c r="A390" s="20" t="n"/>
      <c r="B390" s="21" t="n"/>
      <c r="C390" s="22">
        <f>IF(A390="","",CHOOSE(WEEKDAY(A390,2),"Mon","Tue","Wed","Thu","Fri","Sat","Sun"))</f>
        <v/>
      </c>
      <c r="D390" s="23" t="n"/>
      <c r="E390" s="23" t="n"/>
      <c r="F390" s="23" t="n"/>
      <c r="G390" s="24" t="n"/>
      <c r="H390" s="24" t="n"/>
      <c r="I390" s="22">
        <f>IF(H390="","",LEN(H390))</f>
        <v/>
      </c>
      <c r="J390" s="25">
        <f>IF(D390="","",IFERROR(INDEX(PlatformLimits,MATCH(D390,PlatformNames,0)),""))</f>
        <v/>
      </c>
      <c r="K390" s="24" t="n"/>
      <c r="L390" s="23" t="n"/>
      <c r="M390" s="23" t="n"/>
      <c r="N390" s="23" t="n"/>
      <c r="O390" s="24" t="n"/>
      <c r="P390" s="22">
        <f>IF(AND(D390=ExportPlatform,N390="Ready",A390&lt;&gt;""),COUNTIFS($D$7:D390,ExportPlatform,$N$7:N390,"Ready",$A$7:A390,"&lt;&gt;"),"")</f>
        <v/>
      </c>
    </row>
    <row r="391">
      <c r="A391" s="20" t="n"/>
      <c r="B391" s="21" t="n"/>
      <c r="C391" s="22">
        <f>IF(A391="","",CHOOSE(WEEKDAY(A391,2),"Mon","Tue","Wed","Thu","Fri","Sat","Sun"))</f>
        <v/>
      </c>
      <c r="D391" s="23" t="n"/>
      <c r="E391" s="23" t="n"/>
      <c r="F391" s="23" t="n"/>
      <c r="G391" s="24" t="n"/>
      <c r="H391" s="24" t="n"/>
      <c r="I391" s="22">
        <f>IF(H391="","",LEN(H391))</f>
        <v/>
      </c>
      <c r="J391" s="25">
        <f>IF(D391="","",IFERROR(INDEX(PlatformLimits,MATCH(D391,PlatformNames,0)),""))</f>
        <v/>
      </c>
      <c r="K391" s="24" t="n"/>
      <c r="L391" s="23" t="n"/>
      <c r="M391" s="23" t="n"/>
      <c r="N391" s="23" t="n"/>
      <c r="O391" s="24" t="n"/>
      <c r="P391" s="22">
        <f>IF(AND(D391=ExportPlatform,N391="Ready",A391&lt;&gt;""),COUNTIFS($D$7:D391,ExportPlatform,$N$7:N391,"Ready",$A$7:A391,"&lt;&gt;"),"")</f>
        <v/>
      </c>
    </row>
    <row r="392">
      <c r="A392" s="20" t="n"/>
      <c r="B392" s="21" t="n"/>
      <c r="C392" s="22">
        <f>IF(A392="","",CHOOSE(WEEKDAY(A392,2),"Mon","Tue","Wed","Thu","Fri","Sat","Sun"))</f>
        <v/>
      </c>
      <c r="D392" s="23" t="n"/>
      <c r="E392" s="23" t="n"/>
      <c r="F392" s="23" t="n"/>
      <c r="G392" s="24" t="n"/>
      <c r="H392" s="24" t="n"/>
      <c r="I392" s="22">
        <f>IF(H392="","",LEN(H392))</f>
        <v/>
      </c>
      <c r="J392" s="25">
        <f>IF(D392="","",IFERROR(INDEX(PlatformLimits,MATCH(D392,PlatformNames,0)),""))</f>
        <v/>
      </c>
      <c r="K392" s="24" t="n"/>
      <c r="L392" s="23" t="n"/>
      <c r="M392" s="23" t="n"/>
      <c r="N392" s="23" t="n"/>
      <c r="O392" s="24" t="n"/>
      <c r="P392" s="22">
        <f>IF(AND(D392=ExportPlatform,N392="Ready",A392&lt;&gt;""),COUNTIFS($D$7:D392,ExportPlatform,$N$7:N392,"Ready",$A$7:A392,"&lt;&gt;"),"")</f>
        <v/>
      </c>
    </row>
    <row r="393">
      <c r="A393" s="20" t="n"/>
      <c r="B393" s="21" t="n"/>
      <c r="C393" s="22">
        <f>IF(A393="","",CHOOSE(WEEKDAY(A393,2),"Mon","Tue","Wed","Thu","Fri","Sat","Sun"))</f>
        <v/>
      </c>
      <c r="D393" s="23" t="n"/>
      <c r="E393" s="23" t="n"/>
      <c r="F393" s="23" t="n"/>
      <c r="G393" s="24" t="n"/>
      <c r="H393" s="24" t="n"/>
      <c r="I393" s="22">
        <f>IF(H393="","",LEN(H393))</f>
        <v/>
      </c>
      <c r="J393" s="25">
        <f>IF(D393="","",IFERROR(INDEX(PlatformLimits,MATCH(D393,PlatformNames,0)),""))</f>
        <v/>
      </c>
      <c r="K393" s="24" t="n"/>
      <c r="L393" s="23" t="n"/>
      <c r="M393" s="23" t="n"/>
      <c r="N393" s="23" t="n"/>
      <c r="O393" s="24" t="n"/>
      <c r="P393" s="22">
        <f>IF(AND(D393=ExportPlatform,N393="Ready",A393&lt;&gt;""),COUNTIFS($D$7:D393,ExportPlatform,$N$7:N393,"Ready",$A$7:A393,"&lt;&gt;"),"")</f>
        <v/>
      </c>
    </row>
    <row r="394">
      <c r="A394" s="20" t="n"/>
      <c r="B394" s="21" t="n"/>
      <c r="C394" s="22">
        <f>IF(A394="","",CHOOSE(WEEKDAY(A394,2),"Mon","Tue","Wed","Thu","Fri","Sat","Sun"))</f>
        <v/>
      </c>
      <c r="D394" s="23" t="n"/>
      <c r="E394" s="23" t="n"/>
      <c r="F394" s="23" t="n"/>
      <c r="G394" s="24" t="n"/>
      <c r="H394" s="24" t="n"/>
      <c r="I394" s="22">
        <f>IF(H394="","",LEN(H394))</f>
        <v/>
      </c>
      <c r="J394" s="25">
        <f>IF(D394="","",IFERROR(INDEX(PlatformLimits,MATCH(D394,PlatformNames,0)),""))</f>
        <v/>
      </c>
      <c r="K394" s="24" t="n"/>
      <c r="L394" s="23" t="n"/>
      <c r="M394" s="23" t="n"/>
      <c r="N394" s="23" t="n"/>
      <c r="O394" s="24" t="n"/>
      <c r="P394" s="22">
        <f>IF(AND(D394=ExportPlatform,N394="Ready",A394&lt;&gt;""),COUNTIFS($D$7:D394,ExportPlatform,$N$7:N394,"Ready",$A$7:A394,"&lt;&gt;"),"")</f>
        <v/>
      </c>
    </row>
    <row r="395">
      <c r="A395" s="20" t="n"/>
      <c r="B395" s="21" t="n"/>
      <c r="C395" s="22">
        <f>IF(A395="","",CHOOSE(WEEKDAY(A395,2),"Mon","Tue","Wed","Thu","Fri","Sat","Sun"))</f>
        <v/>
      </c>
      <c r="D395" s="23" t="n"/>
      <c r="E395" s="23" t="n"/>
      <c r="F395" s="23" t="n"/>
      <c r="G395" s="24" t="n"/>
      <c r="H395" s="24" t="n"/>
      <c r="I395" s="22">
        <f>IF(H395="","",LEN(H395))</f>
        <v/>
      </c>
      <c r="J395" s="25">
        <f>IF(D395="","",IFERROR(INDEX(PlatformLimits,MATCH(D395,PlatformNames,0)),""))</f>
        <v/>
      </c>
      <c r="K395" s="24" t="n"/>
      <c r="L395" s="23" t="n"/>
      <c r="M395" s="23" t="n"/>
      <c r="N395" s="23" t="n"/>
      <c r="O395" s="24" t="n"/>
      <c r="P395" s="22">
        <f>IF(AND(D395=ExportPlatform,N395="Ready",A395&lt;&gt;""),COUNTIFS($D$7:D395,ExportPlatform,$N$7:N395,"Ready",$A$7:A395,"&lt;&gt;"),"")</f>
        <v/>
      </c>
    </row>
    <row r="396">
      <c r="A396" s="20" t="n"/>
      <c r="B396" s="21" t="n"/>
      <c r="C396" s="22">
        <f>IF(A396="","",CHOOSE(WEEKDAY(A396,2),"Mon","Tue","Wed","Thu","Fri","Sat","Sun"))</f>
        <v/>
      </c>
      <c r="D396" s="23" t="n"/>
      <c r="E396" s="23" t="n"/>
      <c r="F396" s="23" t="n"/>
      <c r="G396" s="24" t="n"/>
      <c r="H396" s="24" t="n"/>
      <c r="I396" s="22">
        <f>IF(H396="","",LEN(H396))</f>
        <v/>
      </c>
      <c r="J396" s="25">
        <f>IF(D396="","",IFERROR(INDEX(PlatformLimits,MATCH(D396,PlatformNames,0)),""))</f>
        <v/>
      </c>
      <c r="K396" s="24" t="n"/>
      <c r="L396" s="23" t="n"/>
      <c r="M396" s="23" t="n"/>
      <c r="N396" s="23" t="n"/>
      <c r="O396" s="24" t="n"/>
      <c r="P396" s="22">
        <f>IF(AND(D396=ExportPlatform,N396="Ready",A396&lt;&gt;""),COUNTIFS($D$7:D396,ExportPlatform,$N$7:N396,"Ready",$A$7:A396,"&lt;&gt;"),"")</f>
        <v/>
      </c>
    </row>
    <row r="397">
      <c r="A397" s="20" t="n"/>
      <c r="B397" s="21" t="n"/>
      <c r="C397" s="22">
        <f>IF(A397="","",CHOOSE(WEEKDAY(A397,2),"Mon","Tue","Wed","Thu","Fri","Sat","Sun"))</f>
        <v/>
      </c>
      <c r="D397" s="23" t="n"/>
      <c r="E397" s="23" t="n"/>
      <c r="F397" s="23" t="n"/>
      <c r="G397" s="24" t="n"/>
      <c r="H397" s="24" t="n"/>
      <c r="I397" s="22">
        <f>IF(H397="","",LEN(H397))</f>
        <v/>
      </c>
      <c r="J397" s="25">
        <f>IF(D397="","",IFERROR(INDEX(PlatformLimits,MATCH(D397,PlatformNames,0)),""))</f>
        <v/>
      </c>
      <c r="K397" s="24" t="n"/>
      <c r="L397" s="23" t="n"/>
      <c r="M397" s="23" t="n"/>
      <c r="N397" s="23" t="n"/>
      <c r="O397" s="24" t="n"/>
      <c r="P397" s="22">
        <f>IF(AND(D397=ExportPlatform,N397="Ready",A397&lt;&gt;""),COUNTIFS($D$7:D397,ExportPlatform,$N$7:N397,"Ready",$A$7:A397,"&lt;&gt;"),"")</f>
        <v/>
      </c>
    </row>
    <row r="398">
      <c r="A398" s="20" t="n"/>
      <c r="B398" s="21" t="n"/>
      <c r="C398" s="22">
        <f>IF(A398="","",CHOOSE(WEEKDAY(A398,2),"Mon","Tue","Wed","Thu","Fri","Sat","Sun"))</f>
        <v/>
      </c>
      <c r="D398" s="23" t="n"/>
      <c r="E398" s="23" t="n"/>
      <c r="F398" s="23" t="n"/>
      <c r="G398" s="24" t="n"/>
      <c r="H398" s="24" t="n"/>
      <c r="I398" s="22">
        <f>IF(H398="","",LEN(H398))</f>
        <v/>
      </c>
      <c r="J398" s="25">
        <f>IF(D398="","",IFERROR(INDEX(PlatformLimits,MATCH(D398,PlatformNames,0)),""))</f>
        <v/>
      </c>
      <c r="K398" s="24" t="n"/>
      <c r="L398" s="23" t="n"/>
      <c r="M398" s="23" t="n"/>
      <c r="N398" s="23" t="n"/>
      <c r="O398" s="24" t="n"/>
      <c r="P398" s="22">
        <f>IF(AND(D398=ExportPlatform,N398="Ready",A398&lt;&gt;""),COUNTIFS($D$7:D398,ExportPlatform,$N$7:N398,"Ready",$A$7:A398,"&lt;&gt;"),"")</f>
        <v/>
      </c>
    </row>
    <row r="399">
      <c r="A399" s="20" t="n"/>
      <c r="B399" s="21" t="n"/>
      <c r="C399" s="22">
        <f>IF(A399="","",CHOOSE(WEEKDAY(A399,2),"Mon","Tue","Wed","Thu","Fri","Sat","Sun"))</f>
        <v/>
      </c>
      <c r="D399" s="23" t="n"/>
      <c r="E399" s="23" t="n"/>
      <c r="F399" s="23" t="n"/>
      <c r="G399" s="24" t="n"/>
      <c r="H399" s="24" t="n"/>
      <c r="I399" s="22">
        <f>IF(H399="","",LEN(H399))</f>
        <v/>
      </c>
      <c r="J399" s="25">
        <f>IF(D399="","",IFERROR(INDEX(PlatformLimits,MATCH(D399,PlatformNames,0)),""))</f>
        <v/>
      </c>
      <c r="K399" s="24" t="n"/>
      <c r="L399" s="23" t="n"/>
      <c r="M399" s="23" t="n"/>
      <c r="N399" s="23" t="n"/>
      <c r="O399" s="24" t="n"/>
      <c r="P399" s="22">
        <f>IF(AND(D399=ExportPlatform,N399="Ready",A399&lt;&gt;""),COUNTIFS($D$7:D399,ExportPlatform,$N$7:N399,"Ready",$A$7:A399,"&lt;&gt;"),"")</f>
        <v/>
      </c>
    </row>
    <row r="400">
      <c r="A400" s="20" t="n"/>
      <c r="B400" s="21" t="n"/>
      <c r="C400" s="22">
        <f>IF(A400="","",CHOOSE(WEEKDAY(A400,2),"Mon","Tue","Wed","Thu","Fri","Sat","Sun"))</f>
        <v/>
      </c>
      <c r="D400" s="23" t="n"/>
      <c r="E400" s="23" t="n"/>
      <c r="F400" s="23" t="n"/>
      <c r="G400" s="24" t="n"/>
      <c r="H400" s="24" t="n"/>
      <c r="I400" s="22">
        <f>IF(H400="","",LEN(H400))</f>
        <v/>
      </c>
      <c r="J400" s="25">
        <f>IF(D400="","",IFERROR(INDEX(PlatformLimits,MATCH(D400,PlatformNames,0)),""))</f>
        <v/>
      </c>
      <c r="K400" s="24" t="n"/>
      <c r="L400" s="23" t="n"/>
      <c r="M400" s="23" t="n"/>
      <c r="N400" s="23" t="n"/>
      <c r="O400" s="24" t="n"/>
      <c r="P400" s="22">
        <f>IF(AND(D400=ExportPlatform,N400="Ready",A400&lt;&gt;""),COUNTIFS($D$7:D400,ExportPlatform,$N$7:N400,"Ready",$A$7:A400,"&lt;&gt;"),"")</f>
        <v/>
      </c>
    </row>
    <row r="401">
      <c r="A401" s="20" t="n"/>
      <c r="B401" s="21" t="n"/>
      <c r="C401" s="22">
        <f>IF(A401="","",CHOOSE(WEEKDAY(A401,2),"Mon","Tue","Wed","Thu","Fri","Sat","Sun"))</f>
        <v/>
      </c>
      <c r="D401" s="23" t="n"/>
      <c r="E401" s="23" t="n"/>
      <c r="F401" s="23" t="n"/>
      <c r="G401" s="24" t="n"/>
      <c r="H401" s="24" t="n"/>
      <c r="I401" s="22">
        <f>IF(H401="","",LEN(H401))</f>
        <v/>
      </c>
      <c r="J401" s="25">
        <f>IF(D401="","",IFERROR(INDEX(PlatformLimits,MATCH(D401,PlatformNames,0)),""))</f>
        <v/>
      </c>
      <c r="K401" s="24" t="n"/>
      <c r="L401" s="23" t="n"/>
      <c r="M401" s="23" t="n"/>
      <c r="N401" s="23" t="n"/>
      <c r="O401" s="24" t="n"/>
      <c r="P401" s="22">
        <f>IF(AND(D401=ExportPlatform,N401="Ready",A401&lt;&gt;""),COUNTIFS($D$7:D401,ExportPlatform,$N$7:N401,"Ready",$A$7:A401,"&lt;&gt;"),"")</f>
        <v/>
      </c>
    </row>
    <row r="402">
      <c r="A402" s="20" t="n"/>
      <c r="B402" s="21" t="n"/>
      <c r="C402" s="22">
        <f>IF(A402="","",CHOOSE(WEEKDAY(A402,2),"Mon","Tue","Wed","Thu","Fri","Sat","Sun"))</f>
        <v/>
      </c>
      <c r="D402" s="23" t="n"/>
      <c r="E402" s="23" t="n"/>
      <c r="F402" s="23" t="n"/>
      <c r="G402" s="24" t="n"/>
      <c r="H402" s="24" t="n"/>
      <c r="I402" s="22">
        <f>IF(H402="","",LEN(H402))</f>
        <v/>
      </c>
      <c r="J402" s="25">
        <f>IF(D402="","",IFERROR(INDEX(PlatformLimits,MATCH(D402,PlatformNames,0)),""))</f>
        <v/>
      </c>
      <c r="K402" s="24" t="n"/>
      <c r="L402" s="23" t="n"/>
      <c r="M402" s="23" t="n"/>
      <c r="N402" s="23" t="n"/>
      <c r="O402" s="24" t="n"/>
      <c r="P402" s="22">
        <f>IF(AND(D402=ExportPlatform,N402="Ready",A402&lt;&gt;""),COUNTIFS($D$7:D402,ExportPlatform,$N$7:N402,"Ready",$A$7:A402,"&lt;&gt;"),"")</f>
        <v/>
      </c>
    </row>
    <row r="403">
      <c r="A403" s="20" t="n"/>
      <c r="B403" s="21" t="n"/>
      <c r="C403" s="22">
        <f>IF(A403="","",CHOOSE(WEEKDAY(A403,2),"Mon","Tue","Wed","Thu","Fri","Sat","Sun"))</f>
        <v/>
      </c>
      <c r="D403" s="23" t="n"/>
      <c r="E403" s="23" t="n"/>
      <c r="F403" s="23" t="n"/>
      <c r="G403" s="24" t="n"/>
      <c r="H403" s="24" t="n"/>
      <c r="I403" s="22">
        <f>IF(H403="","",LEN(H403))</f>
        <v/>
      </c>
      <c r="J403" s="25">
        <f>IF(D403="","",IFERROR(INDEX(PlatformLimits,MATCH(D403,PlatformNames,0)),""))</f>
        <v/>
      </c>
      <c r="K403" s="24" t="n"/>
      <c r="L403" s="23" t="n"/>
      <c r="M403" s="23" t="n"/>
      <c r="N403" s="23" t="n"/>
      <c r="O403" s="24" t="n"/>
      <c r="P403" s="22">
        <f>IF(AND(D403=ExportPlatform,N403="Ready",A403&lt;&gt;""),COUNTIFS($D$7:D403,ExportPlatform,$N$7:N403,"Ready",$A$7:A403,"&lt;&gt;"),"")</f>
        <v/>
      </c>
    </row>
    <row r="404">
      <c r="A404" s="20" t="n"/>
      <c r="B404" s="21" t="n"/>
      <c r="C404" s="22">
        <f>IF(A404="","",CHOOSE(WEEKDAY(A404,2),"Mon","Tue","Wed","Thu","Fri","Sat","Sun"))</f>
        <v/>
      </c>
      <c r="D404" s="23" t="n"/>
      <c r="E404" s="23" t="n"/>
      <c r="F404" s="23" t="n"/>
      <c r="G404" s="24" t="n"/>
      <c r="H404" s="24" t="n"/>
      <c r="I404" s="22">
        <f>IF(H404="","",LEN(H404))</f>
        <v/>
      </c>
      <c r="J404" s="25">
        <f>IF(D404="","",IFERROR(INDEX(PlatformLimits,MATCH(D404,PlatformNames,0)),""))</f>
        <v/>
      </c>
      <c r="K404" s="24" t="n"/>
      <c r="L404" s="23" t="n"/>
      <c r="M404" s="23" t="n"/>
      <c r="N404" s="23" t="n"/>
      <c r="O404" s="24" t="n"/>
      <c r="P404" s="22">
        <f>IF(AND(D404=ExportPlatform,N404="Ready",A404&lt;&gt;""),COUNTIFS($D$7:D404,ExportPlatform,$N$7:N404,"Ready",$A$7:A404,"&lt;&gt;"),"")</f>
        <v/>
      </c>
    </row>
    <row r="405">
      <c r="A405" s="20" t="n"/>
      <c r="B405" s="21" t="n"/>
      <c r="C405" s="22">
        <f>IF(A405="","",CHOOSE(WEEKDAY(A405,2),"Mon","Tue","Wed","Thu","Fri","Sat","Sun"))</f>
        <v/>
      </c>
      <c r="D405" s="23" t="n"/>
      <c r="E405" s="23" t="n"/>
      <c r="F405" s="23" t="n"/>
      <c r="G405" s="24" t="n"/>
      <c r="H405" s="24" t="n"/>
      <c r="I405" s="22">
        <f>IF(H405="","",LEN(H405))</f>
        <v/>
      </c>
      <c r="J405" s="25">
        <f>IF(D405="","",IFERROR(INDEX(PlatformLimits,MATCH(D405,PlatformNames,0)),""))</f>
        <v/>
      </c>
      <c r="K405" s="24" t="n"/>
      <c r="L405" s="23" t="n"/>
      <c r="M405" s="23" t="n"/>
      <c r="N405" s="23" t="n"/>
      <c r="O405" s="24" t="n"/>
      <c r="P405" s="22">
        <f>IF(AND(D405=ExportPlatform,N405="Ready",A405&lt;&gt;""),COUNTIFS($D$7:D405,ExportPlatform,$N$7:N405,"Ready",$A$7:A405,"&lt;&gt;"),"")</f>
        <v/>
      </c>
    </row>
    <row r="406">
      <c r="A406" s="20" t="n"/>
      <c r="B406" s="21" t="n"/>
      <c r="C406" s="22">
        <f>IF(A406="","",CHOOSE(WEEKDAY(A406,2),"Mon","Tue","Wed","Thu","Fri","Sat","Sun"))</f>
        <v/>
      </c>
      <c r="D406" s="23" t="n"/>
      <c r="E406" s="23" t="n"/>
      <c r="F406" s="23" t="n"/>
      <c r="G406" s="24" t="n"/>
      <c r="H406" s="24" t="n"/>
      <c r="I406" s="22">
        <f>IF(H406="","",LEN(H406))</f>
        <v/>
      </c>
      <c r="J406" s="25">
        <f>IF(D406="","",IFERROR(INDEX(PlatformLimits,MATCH(D406,PlatformNames,0)),""))</f>
        <v/>
      </c>
      <c r="K406" s="24" t="n"/>
      <c r="L406" s="23" t="n"/>
      <c r="M406" s="23" t="n"/>
      <c r="N406" s="23" t="n"/>
      <c r="O406" s="24" t="n"/>
      <c r="P406" s="22">
        <f>IF(AND(D406=ExportPlatform,N406="Ready",A406&lt;&gt;""),COUNTIFS($D$7:D406,ExportPlatform,$N$7:N406,"Ready",$A$7:A406,"&lt;&gt;"),"")</f>
        <v/>
      </c>
    </row>
    <row r="407">
      <c r="A407" s="20" t="n"/>
      <c r="B407" s="21" t="n"/>
      <c r="C407" s="22">
        <f>IF(A407="","",CHOOSE(WEEKDAY(A407,2),"Mon","Tue","Wed","Thu","Fri","Sat","Sun"))</f>
        <v/>
      </c>
      <c r="D407" s="23" t="n"/>
      <c r="E407" s="23" t="n"/>
      <c r="F407" s="23" t="n"/>
      <c r="G407" s="24" t="n"/>
      <c r="H407" s="24" t="n"/>
      <c r="I407" s="22">
        <f>IF(H407="","",LEN(H407))</f>
        <v/>
      </c>
      <c r="J407" s="25">
        <f>IF(D407="","",IFERROR(INDEX(PlatformLimits,MATCH(D407,PlatformNames,0)),""))</f>
        <v/>
      </c>
      <c r="K407" s="24" t="n"/>
      <c r="L407" s="23" t="n"/>
      <c r="M407" s="23" t="n"/>
      <c r="N407" s="23" t="n"/>
      <c r="O407" s="24" t="n"/>
      <c r="P407" s="22">
        <f>IF(AND(D407=ExportPlatform,N407="Ready",A407&lt;&gt;""),COUNTIFS($D$7:D407,ExportPlatform,$N$7:N407,"Ready",$A$7:A407,"&lt;&gt;"),"")</f>
        <v/>
      </c>
    </row>
    <row r="408">
      <c r="A408" s="20" t="n"/>
      <c r="B408" s="21" t="n"/>
      <c r="C408" s="22">
        <f>IF(A408="","",CHOOSE(WEEKDAY(A408,2),"Mon","Tue","Wed","Thu","Fri","Sat","Sun"))</f>
        <v/>
      </c>
      <c r="D408" s="23" t="n"/>
      <c r="E408" s="23" t="n"/>
      <c r="F408" s="23" t="n"/>
      <c r="G408" s="24" t="n"/>
      <c r="H408" s="24" t="n"/>
      <c r="I408" s="22">
        <f>IF(H408="","",LEN(H408))</f>
        <v/>
      </c>
      <c r="J408" s="25">
        <f>IF(D408="","",IFERROR(INDEX(PlatformLimits,MATCH(D408,PlatformNames,0)),""))</f>
        <v/>
      </c>
      <c r="K408" s="24" t="n"/>
      <c r="L408" s="23" t="n"/>
      <c r="M408" s="23" t="n"/>
      <c r="N408" s="23" t="n"/>
      <c r="O408" s="24" t="n"/>
      <c r="P408" s="22">
        <f>IF(AND(D408=ExportPlatform,N408="Ready",A408&lt;&gt;""),COUNTIFS($D$7:D408,ExportPlatform,$N$7:N408,"Ready",$A$7:A408,"&lt;&gt;"),"")</f>
        <v/>
      </c>
    </row>
    <row r="409">
      <c r="A409" s="20" t="n"/>
      <c r="B409" s="21" t="n"/>
      <c r="C409" s="22">
        <f>IF(A409="","",CHOOSE(WEEKDAY(A409,2),"Mon","Tue","Wed","Thu","Fri","Sat","Sun"))</f>
        <v/>
      </c>
      <c r="D409" s="23" t="n"/>
      <c r="E409" s="23" t="n"/>
      <c r="F409" s="23" t="n"/>
      <c r="G409" s="24" t="n"/>
      <c r="H409" s="24" t="n"/>
      <c r="I409" s="22">
        <f>IF(H409="","",LEN(H409))</f>
        <v/>
      </c>
      <c r="J409" s="25">
        <f>IF(D409="","",IFERROR(INDEX(PlatformLimits,MATCH(D409,PlatformNames,0)),""))</f>
        <v/>
      </c>
      <c r="K409" s="24" t="n"/>
      <c r="L409" s="23" t="n"/>
      <c r="M409" s="23" t="n"/>
      <c r="N409" s="23" t="n"/>
      <c r="O409" s="24" t="n"/>
      <c r="P409" s="22">
        <f>IF(AND(D409=ExportPlatform,N409="Ready",A409&lt;&gt;""),COUNTIFS($D$7:D409,ExportPlatform,$N$7:N409,"Ready",$A$7:A409,"&lt;&gt;"),"")</f>
        <v/>
      </c>
    </row>
    <row r="410">
      <c r="A410" s="20" t="n"/>
      <c r="B410" s="21" t="n"/>
      <c r="C410" s="22">
        <f>IF(A410="","",CHOOSE(WEEKDAY(A410,2),"Mon","Tue","Wed","Thu","Fri","Sat","Sun"))</f>
        <v/>
      </c>
      <c r="D410" s="23" t="n"/>
      <c r="E410" s="23" t="n"/>
      <c r="F410" s="23" t="n"/>
      <c r="G410" s="24" t="n"/>
      <c r="H410" s="24" t="n"/>
      <c r="I410" s="22">
        <f>IF(H410="","",LEN(H410))</f>
        <v/>
      </c>
      <c r="J410" s="25">
        <f>IF(D410="","",IFERROR(INDEX(PlatformLimits,MATCH(D410,PlatformNames,0)),""))</f>
        <v/>
      </c>
      <c r="K410" s="24" t="n"/>
      <c r="L410" s="23" t="n"/>
      <c r="M410" s="23" t="n"/>
      <c r="N410" s="23" t="n"/>
      <c r="O410" s="24" t="n"/>
      <c r="P410" s="22">
        <f>IF(AND(D410=ExportPlatform,N410="Ready",A410&lt;&gt;""),COUNTIFS($D$7:D410,ExportPlatform,$N$7:N410,"Ready",$A$7:A410,"&lt;&gt;"),"")</f>
        <v/>
      </c>
    </row>
    <row r="411">
      <c r="A411" s="20" t="n"/>
      <c r="B411" s="21" t="n"/>
      <c r="C411" s="22">
        <f>IF(A411="","",CHOOSE(WEEKDAY(A411,2),"Mon","Tue","Wed","Thu","Fri","Sat","Sun"))</f>
        <v/>
      </c>
      <c r="D411" s="23" t="n"/>
      <c r="E411" s="23" t="n"/>
      <c r="F411" s="23" t="n"/>
      <c r="G411" s="24" t="n"/>
      <c r="H411" s="24" t="n"/>
      <c r="I411" s="22">
        <f>IF(H411="","",LEN(H411))</f>
        <v/>
      </c>
      <c r="J411" s="25">
        <f>IF(D411="","",IFERROR(INDEX(PlatformLimits,MATCH(D411,PlatformNames,0)),""))</f>
        <v/>
      </c>
      <c r="K411" s="24" t="n"/>
      <c r="L411" s="23" t="n"/>
      <c r="M411" s="23" t="n"/>
      <c r="N411" s="23" t="n"/>
      <c r="O411" s="24" t="n"/>
      <c r="P411" s="22">
        <f>IF(AND(D411=ExportPlatform,N411="Ready",A411&lt;&gt;""),COUNTIFS($D$7:D411,ExportPlatform,$N$7:N411,"Ready",$A$7:A411,"&lt;&gt;"),"")</f>
        <v/>
      </c>
    </row>
    <row r="412">
      <c r="A412" s="20" t="n"/>
      <c r="B412" s="21" t="n"/>
      <c r="C412" s="22">
        <f>IF(A412="","",CHOOSE(WEEKDAY(A412,2),"Mon","Tue","Wed","Thu","Fri","Sat","Sun"))</f>
        <v/>
      </c>
      <c r="D412" s="23" t="n"/>
      <c r="E412" s="23" t="n"/>
      <c r="F412" s="23" t="n"/>
      <c r="G412" s="24" t="n"/>
      <c r="H412" s="24" t="n"/>
      <c r="I412" s="22">
        <f>IF(H412="","",LEN(H412))</f>
        <v/>
      </c>
      <c r="J412" s="25">
        <f>IF(D412="","",IFERROR(INDEX(PlatformLimits,MATCH(D412,PlatformNames,0)),""))</f>
        <v/>
      </c>
      <c r="K412" s="24" t="n"/>
      <c r="L412" s="23" t="n"/>
      <c r="M412" s="23" t="n"/>
      <c r="N412" s="23" t="n"/>
      <c r="O412" s="24" t="n"/>
      <c r="P412" s="22">
        <f>IF(AND(D412=ExportPlatform,N412="Ready",A412&lt;&gt;""),COUNTIFS($D$7:D412,ExportPlatform,$N$7:N412,"Ready",$A$7:A412,"&lt;&gt;"),"")</f>
        <v/>
      </c>
    </row>
    <row r="413">
      <c r="A413" s="20" t="n"/>
      <c r="B413" s="21" t="n"/>
      <c r="C413" s="22">
        <f>IF(A413="","",CHOOSE(WEEKDAY(A413,2),"Mon","Tue","Wed","Thu","Fri","Sat","Sun"))</f>
        <v/>
      </c>
      <c r="D413" s="23" t="n"/>
      <c r="E413" s="23" t="n"/>
      <c r="F413" s="23" t="n"/>
      <c r="G413" s="24" t="n"/>
      <c r="H413" s="24" t="n"/>
      <c r="I413" s="22">
        <f>IF(H413="","",LEN(H413))</f>
        <v/>
      </c>
      <c r="J413" s="25">
        <f>IF(D413="","",IFERROR(INDEX(PlatformLimits,MATCH(D413,PlatformNames,0)),""))</f>
        <v/>
      </c>
      <c r="K413" s="24" t="n"/>
      <c r="L413" s="23" t="n"/>
      <c r="M413" s="23" t="n"/>
      <c r="N413" s="23" t="n"/>
      <c r="O413" s="24" t="n"/>
      <c r="P413" s="22">
        <f>IF(AND(D413=ExportPlatform,N413="Ready",A413&lt;&gt;""),COUNTIFS($D$7:D413,ExportPlatform,$N$7:N413,"Ready",$A$7:A413,"&lt;&gt;"),"")</f>
        <v/>
      </c>
    </row>
    <row r="414">
      <c r="A414" s="20" t="n"/>
      <c r="B414" s="21" t="n"/>
      <c r="C414" s="22">
        <f>IF(A414="","",CHOOSE(WEEKDAY(A414,2),"Mon","Tue","Wed","Thu","Fri","Sat","Sun"))</f>
        <v/>
      </c>
      <c r="D414" s="23" t="n"/>
      <c r="E414" s="23" t="n"/>
      <c r="F414" s="23" t="n"/>
      <c r="G414" s="24" t="n"/>
      <c r="H414" s="24" t="n"/>
      <c r="I414" s="22">
        <f>IF(H414="","",LEN(H414))</f>
        <v/>
      </c>
      <c r="J414" s="25">
        <f>IF(D414="","",IFERROR(INDEX(PlatformLimits,MATCH(D414,PlatformNames,0)),""))</f>
        <v/>
      </c>
      <c r="K414" s="24" t="n"/>
      <c r="L414" s="23" t="n"/>
      <c r="M414" s="23" t="n"/>
      <c r="N414" s="23" t="n"/>
      <c r="O414" s="24" t="n"/>
      <c r="P414" s="22">
        <f>IF(AND(D414=ExportPlatform,N414="Ready",A414&lt;&gt;""),COUNTIFS($D$7:D414,ExportPlatform,$N$7:N414,"Ready",$A$7:A414,"&lt;&gt;"),"")</f>
        <v/>
      </c>
    </row>
    <row r="415">
      <c r="A415" s="20" t="n"/>
      <c r="B415" s="21" t="n"/>
      <c r="C415" s="22">
        <f>IF(A415="","",CHOOSE(WEEKDAY(A415,2),"Mon","Tue","Wed","Thu","Fri","Sat","Sun"))</f>
        <v/>
      </c>
      <c r="D415" s="23" t="n"/>
      <c r="E415" s="23" t="n"/>
      <c r="F415" s="23" t="n"/>
      <c r="G415" s="24" t="n"/>
      <c r="H415" s="24" t="n"/>
      <c r="I415" s="22">
        <f>IF(H415="","",LEN(H415))</f>
        <v/>
      </c>
      <c r="J415" s="25">
        <f>IF(D415="","",IFERROR(INDEX(PlatformLimits,MATCH(D415,PlatformNames,0)),""))</f>
        <v/>
      </c>
      <c r="K415" s="24" t="n"/>
      <c r="L415" s="23" t="n"/>
      <c r="M415" s="23" t="n"/>
      <c r="N415" s="23" t="n"/>
      <c r="O415" s="24" t="n"/>
      <c r="P415" s="22">
        <f>IF(AND(D415=ExportPlatform,N415="Ready",A415&lt;&gt;""),COUNTIFS($D$7:D415,ExportPlatform,$N$7:N415,"Ready",$A$7:A415,"&lt;&gt;"),"")</f>
        <v/>
      </c>
    </row>
    <row r="416">
      <c r="A416" s="20" t="n"/>
      <c r="B416" s="21" t="n"/>
      <c r="C416" s="22">
        <f>IF(A416="","",CHOOSE(WEEKDAY(A416,2),"Mon","Tue","Wed","Thu","Fri","Sat","Sun"))</f>
        <v/>
      </c>
      <c r="D416" s="23" t="n"/>
      <c r="E416" s="23" t="n"/>
      <c r="F416" s="23" t="n"/>
      <c r="G416" s="24" t="n"/>
      <c r="H416" s="24" t="n"/>
      <c r="I416" s="22">
        <f>IF(H416="","",LEN(H416))</f>
        <v/>
      </c>
      <c r="J416" s="25">
        <f>IF(D416="","",IFERROR(INDEX(PlatformLimits,MATCH(D416,PlatformNames,0)),""))</f>
        <v/>
      </c>
      <c r="K416" s="24" t="n"/>
      <c r="L416" s="23" t="n"/>
      <c r="M416" s="23" t="n"/>
      <c r="N416" s="23" t="n"/>
      <c r="O416" s="24" t="n"/>
      <c r="P416" s="22">
        <f>IF(AND(D416=ExportPlatform,N416="Ready",A416&lt;&gt;""),COUNTIFS($D$7:D416,ExportPlatform,$N$7:N416,"Ready",$A$7:A416,"&lt;&gt;"),"")</f>
        <v/>
      </c>
    </row>
    <row r="417">
      <c r="A417" s="20" t="n"/>
      <c r="B417" s="21" t="n"/>
      <c r="C417" s="22">
        <f>IF(A417="","",CHOOSE(WEEKDAY(A417,2),"Mon","Tue","Wed","Thu","Fri","Sat","Sun"))</f>
        <v/>
      </c>
      <c r="D417" s="23" t="n"/>
      <c r="E417" s="23" t="n"/>
      <c r="F417" s="23" t="n"/>
      <c r="G417" s="24" t="n"/>
      <c r="H417" s="24" t="n"/>
      <c r="I417" s="22">
        <f>IF(H417="","",LEN(H417))</f>
        <v/>
      </c>
      <c r="J417" s="25">
        <f>IF(D417="","",IFERROR(INDEX(PlatformLimits,MATCH(D417,PlatformNames,0)),""))</f>
        <v/>
      </c>
      <c r="K417" s="24" t="n"/>
      <c r="L417" s="23" t="n"/>
      <c r="M417" s="23" t="n"/>
      <c r="N417" s="23" t="n"/>
      <c r="O417" s="24" t="n"/>
      <c r="P417" s="22">
        <f>IF(AND(D417=ExportPlatform,N417="Ready",A417&lt;&gt;""),COUNTIFS($D$7:D417,ExportPlatform,$N$7:N417,"Ready",$A$7:A417,"&lt;&gt;"),"")</f>
        <v/>
      </c>
    </row>
    <row r="418">
      <c r="A418" s="20" t="n"/>
      <c r="B418" s="21" t="n"/>
      <c r="C418" s="22">
        <f>IF(A418="","",CHOOSE(WEEKDAY(A418,2),"Mon","Tue","Wed","Thu","Fri","Sat","Sun"))</f>
        <v/>
      </c>
      <c r="D418" s="23" t="n"/>
      <c r="E418" s="23" t="n"/>
      <c r="F418" s="23" t="n"/>
      <c r="G418" s="24" t="n"/>
      <c r="H418" s="24" t="n"/>
      <c r="I418" s="22">
        <f>IF(H418="","",LEN(H418))</f>
        <v/>
      </c>
      <c r="J418" s="25">
        <f>IF(D418="","",IFERROR(INDEX(PlatformLimits,MATCH(D418,PlatformNames,0)),""))</f>
        <v/>
      </c>
      <c r="K418" s="24" t="n"/>
      <c r="L418" s="23" t="n"/>
      <c r="M418" s="23" t="n"/>
      <c r="N418" s="23" t="n"/>
      <c r="O418" s="24" t="n"/>
      <c r="P418" s="22">
        <f>IF(AND(D418=ExportPlatform,N418="Ready",A418&lt;&gt;""),COUNTIFS($D$7:D418,ExportPlatform,$N$7:N418,"Ready",$A$7:A418,"&lt;&gt;"),"")</f>
        <v/>
      </c>
    </row>
    <row r="419">
      <c r="A419" s="20" t="n"/>
      <c r="B419" s="21" t="n"/>
      <c r="C419" s="22">
        <f>IF(A419="","",CHOOSE(WEEKDAY(A419,2),"Mon","Tue","Wed","Thu","Fri","Sat","Sun"))</f>
        <v/>
      </c>
      <c r="D419" s="23" t="n"/>
      <c r="E419" s="23" t="n"/>
      <c r="F419" s="23" t="n"/>
      <c r="G419" s="24" t="n"/>
      <c r="H419" s="24" t="n"/>
      <c r="I419" s="22">
        <f>IF(H419="","",LEN(H419))</f>
        <v/>
      </c>
      <c r="J419" s="25">
        <f>IF(D419="","",IFERROR(INDEX(PlatformLimits,MATCH(D419,PlatformNames,0)),""))</f>
        <v/>
      </c>
      <c r="K419" s="24" t="n"/>
      <c r="L419" s="23" t="n"/>
      <c r="M419" s="23" t="n"/>
      <c r="N419" s="23" t="n"/>
      <c r="O419" s="24" t="n"/>
      <c r="P419" s="22">
        <f>IF(AND(D419=ExportPlatform,N419="Ready",A419&lt;&gt;""),COUNTIFS($D$7:D419,ExportPlatform,$N$7:N419,"Ready",$A$7:A419,"&lt;&gt;"),"")</f>
        <v/>
      </c>
    </row>
    <row r="420">
      <c r="A420" s="20" t="n"/>
      <c r="B420" s="21" t="n"/>
      <c r="C420" s="22">
        <f>IF(A420="","",CHOOSE(WEEKDAY(A420,2),"Mon","Tue","Wed","Thu","Fri","Sat","Sun"))</f>
        <v/>
      </c>
      <c r="D420" s="23" t="n"/>
      <c r="E420" s="23" t="n"/>
      <c r="F420" s="23" t="n"/>
      <c r="G420" s="24" t="n"/>
      <c r="H420" s="24" t="n"/>
      <c r="I420" s="22">
        <f>IF(H420="","",LEN(H420))</f>
        <v/>
      </c>
      <c r="J420" s="25">
        <f>IF(D420="","",IFERROR(INDEX(PlatformLimits,MATCH(D420,PlatformNames,0)),""))</f>
        <v/>
      </c>
      <c r="K420" s="24" t="n"/>
      <c r="L420" s="23" t="n"/>
      <c r="M420" s="23" t="n"/>
      <c r="N420" s="23" t="n"/>
      <c r="O420" s="24" t="n"/>
      <c r="P420" s="22">
        <f>IF(AND(D420=ExportPlatform,N420="Ready",A420&lt;&gt;""),COUNTIFS($D$7:D420,ExportPlatform,$N$7:N420,"Ready",$A$7:A420,"&lt;&gt;"),"")</f>
        <v/>
      </c>
    </row>
    <row r="421">
      <c r="A421" s="20" t="n"/>
      <c r="B421" s="21" t="n"/>
      <c r="C421" s="22">
        <f>IF(A421="","",CHOOSE(WEEKDAY(A421,2),"Mon","Tue","Wed","Thu","Fri","Sat","Sun"))</f>
        <v/>
      </c>
      <c r="D421" s="23" t="n"/>
      <c r="E421" s="23" t="n"/>
      <c r="F421" s="23" t="n"/>
      <c r="G421" s="24" t="n"/>
      <c r="H421" s="24" t="n"/>
      <c r="I421" s="22">
        <f>IF(H421="","",LEN(H421))</f>
        <v/>
      </c>
      <c r="J421" s="25">
        <f>IF(D421="","",IFERROR(INDEX(PlatformLimits,MATCH(D421,PlatformNames,0)),""))</f>
        <v/>
      </c>
      <c r="K421" s="24" t="n"/>
      <c r="L421" s="23" t="n"/>
      <c r="M421" s="23" t="n"/>
      <c r="N421" s="23" t="n"/>
      <c r="O421" s="24" t="n"/>
      <c r="P421" s="22">
        <f>IF(AND(D421=ExportPlatform,N421="Ready",A421&lt;&gt;""),COUNTIFS($D$7:D421,ExportPlatform,$N$7:N421,"Ready",$A$7:A421,"&lt;&gt;"),"")</f>
        <v/>
      </c>
    </row>
    <row r="422">
      <c r="A422" s="20" t="n"/>
      <c r="B422" s="21" t="n"/>
      <c r="C422" s="22">
        <f>IF(A422="","",CHOOSE(WEEKDAY(A422,2),"Mon","Tue","Wed","Thu","Fri","Sat","Sun"))</f>
        <v/>
      </c>
      <c r="D422" s="23" t="n"/>
      <c r="E422" s="23" t="n"/>
      <c r="F422" s="23" t="n"/>
      <c r="G422" s="24" t="n"/>
      <c r="H422" s="24" t="n"/>
      <c r="I422" s="22">
        <f>IF(H422="","",LEN(H422))</f>
        <v/>
      </c>
      <c r="J422" s="25">
        <f>IF(D422="","",IFERROR(INDEX(PlatformLimits,MATCH(D422,PlatformNames,0)),""))</f>
        <v/>
      </c>
      <c r="K422" s="24" t="n"/>
      <c r="L422" s="23" t="n"/>
      <c r="M422" s="23" t="n"/>
      <c r="N422" s="23" t="n"/>
      <c r="O422" s="24" t="n"/>
      <c r="P422" s="22">
        <f>IF(AND(D422=ExportPlatform,N422="Ready",A422&lt;&gt;""),COUNTIFS($D$7:D422,ExportPlatform,$N$7:N422,"Ready",$A$7:A422,"&lt;&gt;"),"")</f>
        <v/>
      </c>
    </row>
    <row r="423">
      <c r="A423" s="20" t="n"/>
      <c r="B423" s="21" t="n"/>
      <c r="C423" s="22">
        <f>IF(A423="","",CHOOSE(WEEKDAY(A423,2),"Mon","Tue","Wed","Thu","Fri","Sat","Sun"))</f>
        <v/>
      </c>
      <c r="D423" s="23" t="n"/>
      <c r="E423" s="23" t="n"/>
      <c r="F423" s="23" t="n"/>
      <c r="G423" s="24" t="n"/>
      <c r="H423" s="24" t="n"/>
      <c r="I423" s="22">
        <f>IF(H423="","",LEN(H423))</f>
        <v/>
      </c>
      <c r="J423" s="25">
        <f>IF(D423="","",IFERROR(INDEX(PlatformLimits,MATCH(D423,PlatformNames,0)),""))</f>
        <v/>
      </c>
      <c r="K423" s="24" t="n"/>
      <c r="L423" s="23" t="n"/>
      <c r="M423" s="23" t="n"/>
      <c r="N423" s="23" t="n"/>
      <c r="O423" s="24" t="n"/>
      <c r="P423" s="22">
        <f>IF(AND(D423=ExportPlatform,N423="Ready",A423&lt;&gt;""),COUNTIFS($D$7:D423,ExportPlatform,$N$7:N423,"Ready",$A$7:A423,"&lt;&gt;"),"")</f>
        <v/>
      </c>
    </row>
    <row r="424">
      <c r="A424" s="20" t="n"/>
      <c r="B424" s="21" t="n"/>
      <c r="C424" s="22">
        <f>IF(A424="","",CHOOSE(WEEKDAY(A424,2),"Mon","Tue","Wed","Thu","Fri","Sat","Sun"))</f>
        <v/>
      </c>
      <c r="D424" s="23" t="n"/>
      <c r="E424" s="23" t="n"/>
      <c r="F424" s="23" t="n"/>
      <c r="G424" s="24" t="n"/>
      <c r="H424" s="24" t="n"/>
      <c r="I424" s="22">
        <f>IF(H424="","",LEN(H424))</f>
        <v/>
      </c>
      <c r="J424" s="25">
        <f>IF(D424="","",IFERROR(INDEX(PlatformLimits,MATCH(D424,PlatformNames,0)),""))</f>
        <v/>
      </c>
      <c r="K424" s="24" t="n"/>
      <c r="L424" s="23" t="n"/>
      <c r="M424" s="23" t="n"/>
      <c r="N424" s="23" t="n"/>
      <c r="O424" s="24" t="n"/>
      <c r="P424" s="22">
        <f>IF(AND(D424=ExportPlatform,N424="Ready",A424&lt;&gt;""),COUNTIFS($D$7:D424,ExportPlatform,$N$7:N424,"Ready",$A$7:A424,"&lt;&gt;"),"")</f>
        <v/>
      </c>
    </row>
    <row r="425">
      <c r="A425" s="20" t="n"/>
      <c r="B425" s="21" t="n"/>
      <c r="C425" s="22">
        <f>IF(A425="","",CHOOSE(WEEKDAY(A425,2),"Mon","Tue","Wed","Thu","Fri","Sat","Sun"))</f>
        <v/>
      </c>
      <c r="D425" s="23" t="n"/>
      <c r="E425" s="23" t="n"/>
      <c r="F425" s="23" t="n"/>
      <c r="G425" s="24" t="n"/>
      <c r="H425" s="24" t="n"/>
      <c r="I425" s="22">
        <f>IF(H425="","",LEN(H425))</f>
        <v/>
      </c>
      <c r="J425" s="25">
        <f>IF(D425="","",IFERROR(INDEX(PlatformLimits,MATCH(D425,PlatformNames,0)),""))</f>
        <v/>
      </c>
      <c r="K425" s="24" t="n"/>
      <c r="L425" s="23" t="n"/>
      <c r="M425" s="23" t="n"/>
      <c r="N425" s="23" t="n"/>
      <c r="O425" s="24" t="n"/>
      <c r="P425" s="22">
        <f>IF(AND(D425=ExportPlatform,N425="Ready",A425&lt;&gt;""),COUNTIFS($D$7:D425,ExportPlatform,$N$7:N425,"Ready",$A$7:A425,"&lt;&gt;"),"")</f>
        <v/>
      </c>
    </row>
    <row r="426">
      <c r="A426" s="20" t="n"/>
      <c r="B426" s="21" t="n"/>
      <c r="C426" s="22">
        <f>IF(A426="","",CHOOSE(WEEKDAY(A426,2),"Mon","Tue","Wed","Thu","Fri","Sat","Sun"))</f>
        <v/>
      </c>
      <c r="D426" s="23" t="n"/>
      <c r="E426" s="23" t="n"/>
      <c r="F426" s="23" t="n"/>
      <c r="G426" s="24" t="n"/>
      <c r="H426" s="24" t="n"/>
      <c r="I426" s="22">
        <f>IF(H426="","",LEN(H426))</f>
        <v/>
      </c>
      <c r="J426" s="25">
        <f>IF(D426="","",IFERROR(INDEX(PlatformLimits,MATCH(D426,PlatformNames,0)),""))</f>
        <v/>
      </c>
      <c r="K426" s="24" t="n"/>
      <c r="L426" s="23" t="n"/>
      <c r="M426" s="23" t="n"/>
      <c r="N426" s="23" t="n"/>
      <c r="O426" s="24" t="n"/>
      <c r="P426" s="22">
        <f>IF(AND(D426=ExportPlatform,N426="Ready",A426&lt;&gt;""),COUNTIFS($D$7:D426,ExportPlatform,$N$7:N426,"Ready",$A$7:A426,"&lt;&gt;"),"")</f>
        <v/>
      </c>
    </row>
    <row r="427">
      <c r="A427" s="20" t="n"/>
      <c r="B427" s="21" t="n"/>
      <c r="C427" s="22">
        <f>IF(A427="","",CHOOSE(WEEKDAY(A427,2),"Mon","Tue","Wed","Thu","Fri","Sat","Sun"))</f>
        <v/>
      </c>
      <c r="D427" s="23" t="n"/>
      <c r="E427" s="23" t="n"/>
      <c r="F427" s="23" t="n"/>
      <c r="G427" s="24" t="n"/>
      <c r="H427" s="24" t="n"/>
      <c r="I427" s="22">
        <f>IF(H427="","",LEN(H427))</f>
        <v/>
      </c>
      <c r="J427" s="25">
        <f>IF(D427="","",IFERROR(INDEX(PlatformLimits,MATCH(D427,PlatformNames,0)),""))</f>
        <v/>
      </c>
      <c r="K427" s="24" t="n"/>
      <c r="L427" s="23" t="n"/>
      <c r="M427" s="23" t="n"/>
      <c r="N427" s="23" t="n"/>
      <c r="O427" s="24" t="n"/>
      <c r="P427" s="22">
        <f>IF(AND(D427=ExportPlatform,N427="Ready",A427&lt;&gt;""),COUNTIFS($D$7:D427,ExportPlatform,$N$7:N427,"Ready",$A$7:A427,"&lt;&gt;"),"")</f>
        <v/>
      </c>
    </row>
    <row r="428">
      <c r="A428" s="20" t="n"/>
      <c r="B428" s="21" t="n"/>
      <c r="C428" s="22">
        <f>IF(A428="","",CHOOSE(WEEKDAY(A428,2),"Mon","Tue","Wed","Thu","Fri","Sat","Sun"))</f>
        <v/>
      </c>
      <c r="D428" s="23" t="n"/>
      <c r="E428" s="23" t="n"/>
      <c r="F428" s="23" t="n"/>
      <c r="G428" s="24" t="n"/>
      <c r="H428" s="24" t="n"/>
      <c r="I428" s="22">
        <f>IF(H428="","",LEN(H428))</f>
        <v/>
      </c>
      <c r="J428" s="25">
        <f>IF(D428="","",IFERROR(INDEX(PlatformLimits,MATCH(D428,PlatformNames,0)),""))</f>
        <v/>
      </c>
      <c r="K428" s="24" t="n"/>
      <c r="L428" s="23" t="n"/>
      <c r="M428" s="23" t="n"/>
      <c r="N428" s="23" t="n"/>
      <c r="O428" s="24" t="n"/>
      <c r="P428" s="22">
        <f>IF(AND(D428=ExportPlatform,N428="Ready",A428&lt;&gt;""),COUNTIFS($D$7:D428,ExportPlatform,$N$7:N428,"Ready",$A$7:A428,"&lt;&gt;"),"")</f>
        <v/>
      </c>
    </row>
    <row r="429">
      <c r="A429" s="20" t="n"/>
      <c r="B429" s="21" t="n"/>
      <c r="C429" s="22">
        <f>IF(A429="","",CHOOSE(WEEKDAY(A429,2),"Mon","Tue","Wed","Thu","Fri","Sat","Sun"))</f>
        <v/>
      </c>
      <c r="D429" s="23" t="n"/>
      <c r="E429" s="23" t="n"/>
      <c r="F429" s="23" t="n"/>
      <c r="G429" s="24" t="n"/>
      <c r="H429" s="24" t="n"/>
      <c r="I429" s="22">
        <f>IF(H429="","",LEN(H429))</f>
        <v/>
      </c>
      <c r="J429" s="25">
        <f>IF(D429="","",IFERROR(INDEX(PlatformLimits,MATCH(D429,PlatformNames,0)),""))</f>
        <v/>
      </c>
      <c r="K429" s="24" t="n"/>
      <c r="L429" s="23" t="n"/>
      <c r="M429" s="23" t="n"/>
      <c r="N429" s="23" t="n"/>
      <c r="O429" s="24" t="n"/>
      <c r="P429" s="22">
        <f>IF(AND(D429=ExportPlatform,N429="Ready",A429&lt;&gt;""),COUNTIFS($D$7:D429,ExportPlatform,$N$7:N429,"Ready",$A$7:A429,"&lt;&gt;"),"")</f>
        <v/>
      </c>
    </row>
    <row r="430">
      <c r="A430" s="20" t="n"/>
      <c r="B430" s="21" t="n"/>
      <c r="C430" s="22">
        <f>IF(A430="","",CHOOSE(WEEKDAY(A430,2),"Mon","Tue","Wed","Thu","Fri","Sat","Sun"))</f>
        <v/>
      </c>
      <c r="D430" s="23" t="n"/>
      <c r="E430" s="23" t="n"/>
      <c r="F430" s="23" t="n"/>
      <c r="G430" s="24" t="n"/>
      <c r="H430" s="24" t="n"/>
      <c r="I430" s="22">
        <f>IF(H430="","",LEN(H430))</f>
        <v/>
      </c>
      <c r="J430" s="25">
        <f>IF(D430="","",IFERROR(INDEX(PlatformLimits,MATCH(D430,PlatformNames,0)),""))</f>
        <v/>
      </c>
      <c r="K430" s="24" t="n"/>
      <c r="L430" s="23" t="n"/>
      <c r="M430" s="23" t="n"/>
      <c r="N430" s="23" t="n"/>
      <c r="O430" s="24" t="n"/>
      <c r="P430" s="22">
        <f>IF(AND(D430=ExportPlatform,N430="Ready",A430&lt;&gt;""),COUNTIFS($D$7:D430,ExportPlatform,$N$7:N430,"Ready",$A$7:A430,"&lt;&gt;"),"")</f>
        <v/>
      </c>
    </row>
    <row r="431">
      <c r="A431" s="20" t="n"/>
      <c r="B431" s="21" t="n"/>
      <c r="C431" s="22">
        <f>IF(A431="","",CHOOSE(WEEKDAY(A431,2),"Mon","Tue","Wed","Thu","Fri","Sat","Sun"))</f>
        <v/>
      </c>
      <c r="D431" s="23" t="n"/>
      <c r="E431" s="23" t="n"/>
      <c r="F431" s="23" t="n"/>
      <c r="G431" s="24" t="n"/>
      <c r="H431" s="24" t="n"/>
      <c r="I431" s="22">
        <f>IF(H431="","",LEN(H431))</f>
        <v/>
      </c>
      <c r="J431" s="25">
        <f>IF(D431="","",IFERROR(INDEX(PlatformLimits,MATCH(D431,PlatformNames,0)),""))</f>
        <v/>
      </c>
      <c r="K431" s="24" t="n"/>
      <c r="L431" s="23" t="n"/>
      <c r="M431" s="23" t="n"/>
      <c r="N431" s="23" t="n"/>
      <c r="O431" s="24" t="n"/>
      <c r="P431" s="22">
        <f>IF(AND(D431=ExportPlatform,N431="Ready",A431&lt;&gt;""),COUNTIFS($D$7:D431,ExportPlatform,$N$7:N431,"Ready",$A$7:A431,"&lt;&gt;"),"")</f>
        <v/>
      </c>
    </row>
    <row r="432">
      <c r="A432" s="20" t="n"/>
      <c r="B432" s="21" t="n"/>
      <c r="C432" s="22">
        <f>IF(A432="","",CHOOSE(WEEKDAY(A432,2),"Mon","Tue","Wed","Thu","Fri","Sat","Sun"))</f>
        <v/>
      </c>
      <c r="D432" s="23" t="n"/>
      <c r="E432" s="23" t="n"/>
      <c r="F432" s="23" t="n"/>
      <c r="G432" s="24" t="n"/>
      <c r="H432" s="24" t="n"/>
      <c r="I432" s="22">
        <f>IF(H432="","",LEN(H432))</f>
        <v/>
      </c>
      <c r="J432" s="25">
        <f>IF(D432="","",IFERROR(INDEX(PlatformLimits,MATCH(D432,PlatformNames,0)),""))</f>
        <v/>
      </c>
      <c r="K432" s="24" t="n"/>
      <c r="L432" s="23" t="n"/>
      <c r="M432" s="23" t="n"/>
      <c r="N432" s="23" t="n"/>
      <c r="O432" s="24" t="n"/>
      <c r="P432" s="22">
        <f>IF(AND(D432=ExportPlatform,N432="Ready",A432&lt;&gt;""),COUNTIFS($D$7:D432,ExportPlatform,$N$7:N432,"Ready",$A$7:A432,"&lt;&gt;"),"")</f>
        <v/>
      </c>
    </row>
    <row r="433">
      <c r="A433" s="20" t="n"/>
      <c r="B433" s="21" t="n"/>
      <c r="C433" s="22">
        <f>IF(A433="","",CHOOSE(WEEKDAY(A433,2),"Mon","Tue","Wed","Thu","Fri","Sat","Sun"))</f>
        <v/>
      </c>
      <c r="D433" s="23" t="n"/>
      <c r="E433" s="23" t="n"/>
      <c r="F433" s="23" t="n"/>
      <c r="G433" s="24" t="n"/>
      <c r="H433" s="24" t="n"/>
      <c r="I433" s="22">
        <f>IF(H433="","",LEN(H433))</f>
        <v/>
      </c>
      <c r="J433" s="25">
        <f>IF(D433="","",IFERROR(INDEX(PlatformLimits,MATCH(D433,PlatformNames,0)),""))</f>
        <v/>
      </c>
      <c r="K433" s="24" t="n"/>
      <c r="L433" s="23" t="n"/>
      <c r="M433" s="23" t="n"/>
      <c r="N433" s="23" t="n"/>
      <c r="O433" s="24" t="n"/>
      <c r="P433" s="22">
        <f>IF(AND(D433=ExportPlatform,N433="Ready",A433&lt;&gt;""),COUNTIFS($D$7:D433,ExportPlatform,$N$7:N433,"Ready",$A$7:A433,"&lt;&gt;"),"")</f>
        <v/>
      </c>
    </row>
    <row r="434">
      <c r="A434" s="20" t="n"/>
      <c r="B434" s="21" t="n"/>
      <c r="C434" s="22">
        <f>IF(A434="","",CHOOSE(WEEKDAY(A434,2),"Mon","Tue","Wed","Thu","Fri","Sat","Sun"))</f>
        <v/>
      </c>
      <c r="D434" s="23" t="n"/>
      <c r="E434" s="23" t="n"/>
      <c r="F434" s="23" t="n"/>
      <c r="G434" s="24" t="n"/>
      <c r="H434" s="24" t="n"/>
      <c r="I434" s="22">
        <f>IF(H434="","",LEN(H434))</f>
        <v/>
      </c>
      <c r="J434" s="25">
        <f>IF(D434="","",IFERROR(INDEX(PlatformLimits,MATCH(D434,PlatformNames,0)),""))</f>
        <v/>
      </c>
      <c r="K434" s="24" t="n"/>
      <c r="L434" s="23" t="n"/>
      <c r="M434" s="23" t="n"/>
      <c r="N434" s="23" t="n"/>
      <c r="O434" s="24" t="n"/>
      <c r="P434" s="22">
        <f>IF(AND(D434=ExportPlatform,N434="Ready",A434&lt;&gt;""),COUNTIFS($D$7:D434,ExportPlatform,$N$7:N434,"Ready",$A$7:A434,"&lt;&gt;"),"")</f>
        <v/>
      </c>
    </row>
    <row r="435">
      <c r="A435" s="20" t="n"/>
      <c r="B435" s="21" t="n"/>
      <c r="C435" s="22">
        <f>IF(A435="","",CHOOSE(WEEKDAY(A435,2),"Mon","Tue","Wed","Thu","Fri","Sat","Sun"))</f>
        <v/>
      </c>
      <c r="D435" s="23" t="n"/>
      <c r="E435" s="23" t="n"/>
      <c r="F435" s="23" t="n"/>
      <c r="G435" s="24" t="n"/>
      <c r="H435" s="24" t="n"/>
      <c r="I435" s="22">
        <f>IF(H435="","",LEN(H435))</f>
        <v/>
      </c>
      <c r="J435" s="25">
        <f>IF(D435="","",IFERROR(INDEX(PlatformLimits,MATCH(D435,PlatformNames,0)),""))</f>
        <v/>
      </c>
      <c r="K435" s="24" t="n"/>
      <c r="L435" s="23" t="n"/>
      <c r="M435" s="23" t="n"/>
      <c r="N435" s="23" t="n"/>
      <c r="O435" s="24" t="n"/>
      <c r="P435" s="22">
        <f>IF(AND(D435=ExportPlatform,N435="Ready",A435&lt;&gt;""),COUNTIFS($D$7:D435,ExportPlatform,$N$7:N435,"Ready",$A$7:A435,"&lt;&gt;"),"")</f>
        <v/>
      </c>
    </row>
    <row r="436">
      <c r="A436" s="20" t="n"/>
      <c r="B436" s="21" t="n"/>
      <c r="C436" s="22">
        <f>IF(A436="","",CHOOSE(WEEKDAY(A436,2),"Mon","Tue","Wed","Thu","Fri","Sat","Sun"))</f>
        <v/>
      </c>
      <c r="D436" s="23" t="n"/>
      <c r="E436" s="23" t="n"/>
      <c r="F436" s="23" t="n"/>
      <c r="G436" s="24" t="n"/>
      <c r="H436" s="24" t="n"/>
      <c r="I436" s="22">
        <f>IF(H436="","",LEN(H436))</f>
        <v/>
      </c>
      <c r="J436" s="25">
        <f>IF(D436="","",IFERROR(INDEX(PlatformLimits,MATCH(D436,PlatformNames,0)),""))</f>
        <v/>
      </c>
      <c r="K436" s="24" t="n"/>
      <c r="L436" s="23" t="n"/>
      <c r="M436" s="23" t="n"/>
      <c r="N436" s="23" t="n"/>
      <c r="O436" s="24" t="n"/>
      <c r="P436" s="22">
        <f>IF(AND(D436=ExportPlatform,N436="Ready",A436&lt;&gt;""),COUNTIFS($D$7:D436,ExportPlatform,$N$7:N436,"Ready",$A$7:A436,"&lt;&gt;"),"")</f>
        <v/>
      </c>
    </row>
    <row r="437">
      <c r="A437" s="20" t="n"/>
      <c r="B437" s="21" t="n"/>
      <c r="C437" s="22">
        <f>IF(A437="","",CHOOSE(WEEKDAY(A437,2),"Mon","Tue","Wed","Thu","Fri","Sat","Sun"))</f>
        <v/>
      </c>
      <c r="D437" s="23" t="n"/>
      <c r="E437" s="23" t="n"/>
      <c r="F437" s="23" t="n"/>
      <c r="G437" s="24" t="n"/>
      <c r="H437" s="24" t="n"/>
      <c r="I437" s="22">
        <f>IF(H437="","",LEN(H437))</f>
        <v/>
      </c>
      <c r="J437" s="25">
        <f>IF(D437="","",IFERROR(INDEX(PlatformLimits,MATCH(D437,PlatformNames,0)),""))</f>
        <v/>
      </c>
      <c r="K437" s="24" t="n"/>
      <c r="L437" s="23" t="n"/>
      <c r="M437" s="23" t="n"/>
      <c r="N437" s="23" t="n"/>
      <c r="O437" s="24" t="n"/>
      <c r="P437" s="22">
        <f>IF(AND(D437=ExportPlatform,N437="Ready",A437&lt;&gt;""),COUNTIFS($D$7:D437,ExportPlatform,$N$7:N437,"Ready",$A$7:A437,"&lt;&gt;"),"")</f>
        <v/>
      </c>
    </row>
    <row r="438">
      <c r="A438" s="20" t="n"/>
      <c r="B438" s="21" t="n"/>
      <c r="C438" s="22">
        <f>IF(A438="","",CHOOSE(WEEKDAY(A438,2),"Mon","Tue","Wed","Thu","Fri","Sat","Sun"))</f>
        <v/>
      </c>
      <c r="D438" s="23" t="n"/>
      <c r="E438" s="23" t="n"/>
      <c r="F438" s="23" t="n"/>
      <c r="G438" s="24" t="n"/>
      <c r="H438" s="24" t="n"/>
      <c r="I438" s="22">
        <f>IF(H438="","",LEN(H438))</f>
        <v/>
      </c>
      <c r="J438" s="25">
        <f>IF(D438="","",IFERROR(INDEX(PlatformLimits,MATCH(D438,PlatformNames,0)),""))</f>
        <v/>
      </c>
      <c r="K438" s="24" t="n"/>
      <c r="L438" s="23" t="n"/>
      <c r="M438" s="23" t="n"/>
      <c r="N438" s="23" t="n"/>
      <c r="O438" s="24" t="n"/>
      <c r="P438" s="22">
        <f>IF(AND(D438=ExportPlatform,N438="Ready",A438&lt;&gt;""),COUNTIFS($D$7:D438,ExportPlatform,$N$7:N438,"Ready",$A$7:A438,"&lt;&gt;"),"")</f>
        <v/>
      </c>
    </row>
    <row r="439">
      <c r="A439" s="20" t="n"/>
      <c r="B439" s="21" t="n"/>
      <c r="C439" s="22">
        <f>IF(A439="","",CHOOSE(WEEKDAY(A439,2),"Mon","Tue","Wed","Thu","Fri","Sat","Sun"))</f>
        <v/>
      </c>
      <c r="D439" s="23" t="n"/>
      <c r="E439" s="23" t="n"/>
      <c r="F439" s="23" t="n"/>
      <c r="G439" s="24" t="n"/>
      <c r="H439" s="24" t="n"/>
      <c r="I439" s="22">
        <f>IF(H439="","",LEN(H439))</f>
        <v/>
      </c>
      <c r="J439" s="25">
        <f>IF(D439="","",IFERROR(INDEX(PlatformLimits,MATCH(D439,PlatformNames,0)),""))</f>
        <v/>
      </c>
      <c r="K439" s="24" t="n"/>
      <c r="L439" s="23" t="n"/>
      <c r="M439" s="23" t="n"/>
      <c r="N439" s="23" t="n"/>
      <c r="O439" s="24" t="n"/>
      <c r="P439" s="22">
        <f>IF(AND(D439=ExportPlatform,N439="Ready",A439&lt;&gt;""),COUNTIFS($D$7:D439,ExportPlatform,$N$7:N439,"Ready",$A$7:A439,"&lt;&gt;"),"")</f>
        <v/>
      </c>
    </row>
    <row r="440">
      <c r="A440" s="20" t="n"/>
      <c r="B440" s="21" t="n"/>
      <c r="C440" s="22">
        <f>IF(A440="","",CHOOSE(WEEKDAY(A440,2),"Mon","Tue","Wed","Thu","Fri","Sat","Sun"))</f>
        <v/>
      </c>
      <c r="D440" s="23" t="n"/>
      <c r="E440" s="23" t="n"/>
      <c r="F440" s="23" t="n"/>
      <c r="G440" s="24" t="n"/>
      <c r="H440" s="24" t="n"/>
      <c r="I440" s="22">
        <f>IF(H440="","",LEN(H440))</f>
        <v/>
      </c>
      <c r="J440" s="25">
        <f>IF(D440="","",IFERROR(INDEX(PlatformLimits,MATCH(D440,PlatformNames,0)),""))</f>
        <v/>
      </c>
      <c r="K440" s="24" t="n"/>
      <c r="L440" s="23" t="n"/>
      <c r="M440" s="23" t="n"/>
      <c r="N440" s="23" t="n"/>
      <c r="O440" s="24" t="n"/>
      <c r="P440" s="22">
        <f>IF(AND(D440=ExportPlatform,N440="Ready",A440&lt;&gt;""),COUNTIFS($D$7:D440,ExportPlatform,$N$7:N440,"Ready",$A$7:A440,"&lt;&gt;"),"")</f>
        <v/>
      </c>
    </row>
    <row r="441">
      <c r="A441" s="20" t="n"/>
      <c r="B441" s="21" t="n"/>
      <c r="C441" s="22">
        <f>IF(A441="","",CHOOSE(WEEKDAY(A441,2),"Mon","Tue","Wed","Thu","Fri","Sat","Sun"))</f>
        <v/>
      </c>
      <c r="D441" s="23" t="n"/>
      <c r="E441" s="23" t="n"/>
      <c r="F441" s="23" t="n"/>
      <c r="G441" s="24" t="n"/>
      <c r="H441" s="24" t="n"/>
      <c r="I441" s="22">
        <f>IF(H441="","",LEN(H441))</f>
        <v/>
      </c>
      <c r="J441" s="25">
        <f>IF(D441="","",IFERROR(INDEX(PlatformLimits,MATCH(D441,PlatformNames,0)),""))</f>
        <v/>
      </c>
      <c r="K441" s="24" t="n"/>
      <c r="L441" s="23" t="n"/>
      <c r="M441" s="23" t="n"/>
      <c r="N441" s="23" t="n"/>
      <c r="O441" s="24" t="n"/>
      <c r="P441" s="22">
        <f>IF(AND(D441=ExportPlatform,N441="Ready",A441&lt;&gt;""),COUNTIFS($D$7:D441,ExportPlatform,$N$7:N441,"Ready",$A$7:A441,"&lt;&gt;"),"")</f>
        <v/>
      </c>
    </row>
    <row r="442">
      <c r="A442" s="20" t="n"/>
      <c r="B442" s="21" t="n"/>
      <c r="C442" s="22">
        <f>IF(A442="","",CHOOSE(WEEKDAY(A442,2),"Mon","Tue","Wed","Thu","Fri","Sat","Sun"))</f>
        <v/>
      </c>
      <c r="D442" s="23" t="n"/>
      <c r="E442" s="23" t="n"/>
      <c r="F442" s="23" t="n"/>
      <c r="G442" s="24" t="n"/>
      <c r="H442" s="24" t="n"/>
      <c r="I442" s="22">
        <f>IF(H442="","",LEN(H442))</f>
        <v/>
      </c>
      <c r="J442" s="25">
        <f>IF(D442="","",IFERROR(INDEX(PlatformLimits,MATCH(D442,PlatformNames,0)),""))</f>
        <v/>
      </c>
      <c r="K442" s="24" t="n"/>
      <c r="L442" s="23" t="n"/>
      <c r="M442" s="23" t="n"/>
      <c r="N442" s="23" t="n"/>
      <c r="O442" s="24" t="n"/>
      <c r="P442" s="22">
        <f>IF(AND(D442=ExportPlatform,N442="Ready",A442&lt;&gt;""),COUNTIFS($D$7:D442,ExportPlatform,$N$7:N442,"Ready",$A$7:A442,"&lt;&gt;"),"")</f>
        <v/>
      </c>
    </row>
    <row r="443">
      <c r="A443" s="20" t="n"/>
      <c r="B443" s="21" t="n"/>
      <c r="C443" s="22">
        <f>IF(A443="","",CHOOSE(WEEKDAY(A443,2),"Mon","Tue","Wed","Thu","Fri","Sat","Sun"))</f>
        <v/>
      </c>
      <c r="D443" s="23" t="n"/>
      <c r="E443" s="23" t="n"/>
      <c r="F443" s="23" t="n"/>
      <c r="G443" s="24" t="n"/>
      <c r="H443" s="24" t="n"/>
      <c r="I443" s="22">
        <f>IF(H443="","",LEN(H443))</f>
        <v/>
      </c>
      <c r="J443" s="25">
        <f>IF(D443="","",IFERROR(INDEX(PlatformLimits,MATCH(D443,PlatformNames,0)),""))</f>
        <v/>
      </c>
      <c r="K443" s="24" t="n"/>
      <c r="L443" s="23" t="n"/>
      <c r="M443" s="23" t="n"/>
      <c r="N443" s="23" t="n"/>
      <c r="O443" s="24" t="n"/>
      <c r="P443" s="22">
        <f>IF(AND(D443=ExportPlatform,N443="Ready",A443&lt;&gt;""),COUNTIFS($D$7:D443,ExportPlatform,$N$7:N443,"Ready",$A$7:A443,"&lt;&gt;"),"")</f>
        <v/>
      </c>
    </row>
    <row r="444">
      <c r="A444" s="20" t="n"/>
      <c r="B444" s="21" t="n"/>
      <c r="C444" s="22">
        <f>IF(A444="","",CHOOSE(WEEKDAY(A444,2),"Mon","Tue","Wed","Thu","Fri","Sat","Sun"))</f>
        <v/>
      </c>
      <c r="D444" s="23" t="n"/>
      <c r="E444" s="23" t="n"/>
      <c r="F444" s="23" t="n"/>
      <c r="G444" s="24" t="n"/>
      <c r="H444" s="24" t="n"/>
      <c r="I444" s="22">
        <f>IF(H444="","",LEN(H444))</f>
        <v/>
      </c>
      <c r="J444" s="25">
        <f>IF(D444="","",IFERROR(INDEX(PlatformLimits,MATCH(D444,PlatformNames,0)),""))</f>
        <v/>
      </c>
      <c r="K444" s="24" t="n"/>
      <c r="L444" s="23" t="n"/>
      <c r="M444" s="23" t="n"/>
      <c r="N444" s="23" t="n"/>
      <c r="O444" s="24" t="n"/>
      <c r="P444" s="22">
        <f>IF(AND(D444=ExportPlatform,N444="Ready",A444&lt;&gt;""),COUNTIFS($D$7:D444,ExportPlatform,$N$7:N444,"Ready",$A$7:A444,"&lt;&gt;"),"")</f>
        <v/>
      </c>
    </row>
    <row r="445">
      <c r="A445" s="20" t="n"/>
      <c r="B445" s="21" t="n"/>
      <c r="C445" s="22">
        <f>IF(A445="","",CHOOSE(WEEKDAY(A445,2),"Mon","Tue","Wed","Thu","Fri","Sat","Sun"))</f>
        <v/>
      </c>
      <c r="D445" s="23" t="n"/>
      <c r="E445" s="23" t="n"/>
      <c r="F445" s="23" t="n"/>
      <c r="G445" s="24" t="n"/>
      <c r="H445" s="24" t="n"/>
      <c r="I445" s="22">
        <f>IF(H445="","",LEN(H445))</f>
        <v/>
      </c>
      <c r="J445" s="25">
        <f>IF(D445="","",IFERROR(INDEX(PlatformLimits,MATCH(D445,PlatformNames,0)),""))</f>
        <v/>
      </c>
      <c r="K445" s="24" t="n"/>
      <c r="L445" s="23" t="n"/>
      <c r="M445" s="23" t="n"/>
      <c r="N445" s="23" t="n"/>
      <c r="O445" s="24" t="n"/>
      <c r="P445" s="22">
        <f>IF(AND(D445=ExportPlatform,N445="Ready",A445&lt;&gt;""),COUNTIFS($D$7:D445,ExportPlatform,$N$7:N445,"Ready",$A$7:A445,"&lt;&gt;"),"")</f>
        <v/>
      </c>
    </row>
    <row r="446">
      <c r="A446" s="20" t="n"/>
      <c r="B446" s="21" t="n"/>
      <c r="C446" s="22">
        <f>IF(A446="","",CHOOSE(WEEKDAY(A446,2),"Mon","Tue","Wed","Thu","Fri","Sat","Sun"))</f>
        <v/>
      </c>
      <c r="D446" s="23" t="n"/>
      <c r="E446" s="23" t="n"/>
      <c r="F446" s="23" t="n"/>
      <c r="G446" s="24" t="n"/>
      <c r="H446" s="24" t="n"/>
      <c r="I446" s="22">
        <f>IF(H446="","",LEN(H446))</f>
        <v/>
      </c>
      <c r="J446" s="25">
        <f>IF(D446="","",IFERROR(INDEX(PlatformLimits,MATCH(D446,PlatformNames,0)),""))</f>
        <v/>
      </c>
      <c r="K446" s="24" t="n"/>
      <c r="L446" s="23" t="n"/>
      <c r="M446" s="23" t="n"/>
      <c r="N446" s="23" t="n"/>
      <c r="O446" s="24" t="n"/>
      <c r="P446" s="22">
        <f>IF(AND(D446=ExportPlatform,N446="Ready",A446&lt;&gt;""),COUNTIFS($D$7:D446,ExportPlatform,$N$7:N446,"Ready",$A$7:A446,"&lt;&gt;"),"")</f>
        <v/>
      </c>
    </row>
    <row r="447">
      <c r="A447" s="20" t="n"/>
      <c r="B447" s="21" t="n"/>
      <c r="C447" s="22">
        <f>IF(A447="","",CHOOSE(WEEKDAY(A447,2),"Mon","Tue","Wed","Thu","Fri","Sat","Sun"))</f>
        <v/>
      </c>
      <c r="D447" s="23" t="n"/>
      <c r="E447" s="23" t="n"/>
      <c r="F447" s="23" t="n"/>
      <c r="G447" s="24" t="n"/>
      <c r="H447" s="24" t="n"/>
      <c r="I447" s="22">
        <f>IF(H447="","",LEN(H447))</f>
        <v/>
      </c>
      <c r="J447" s="25">
        <f>IF(D447="","",IFERROR(INDEX(PlatformLimits,MATCH(D447,PlatformNames,0)),""))</f>
        <v/>
      </c>
      <c r="K447" s="24" t="n"/>
      <c r="L447" s="23" t="n"/>
      <c r="M447" s="23" t="n"/>
      <c r="N447" s="23" t="n"/>
      <c r="O447" s="24" t="n"/>
      <c r="P447" s="22">
        <f>IF(AND(D447=ExportPlatform,N447="Ready",A447&lt;&gt;""),COUNTIFS($D$7:D447,ExportPlatform,$N$7:N447,"Ready",$A$7:A447,"&lt;&gt;"),"")</f>
        <v/>
      </c>
    </row>
    <row r="448">
      <c r="A448" s="20" t="n"/>
      <c r="B448" s="21" t="n"/>
      <c r="C448" s="22">
        <f>IF(A448="","",CHOOSE(WEEKDAY(A448,2),"Mon","Tue","Wed","Thu","Fri","Sat","Sun"))</f>
        <v/>
      </c>
      <c r="D448" s="23" t="n"/>
      <c r="E448" s="23" t="n"/>
      <c r="F448" s="23" t="n"/>
      <c r="G448" s="24" t="n"/>
      <c r="H448" s="24" t="n"/>
      <c r="I448" s="22">
        <f>IF(H448="","",LEN(H448))</f>
        <v/>
      </c>
      <c r="J448" s="25">
        <f>IF(D448="","",IFERROR(INDEX(PlatformLimits,MATCH(D448,PlatformNames,0)),""))</f>
        <v/>
      </c>
      <c r="K448" s="24" t="n"/>
      <c r="L448" s="23" t="n"/>
      <c r="M448" s="23" t="n"/>
      <c r="N448" s="23" t="n"/>
      <c r="O448" s="24" t="n"/>
      <c r="P448" s="22">
        <f>IF(AND(D448=ExportPlatform,N448="Ready",A448&lt;&gt;""),COUNTIFS($D$7:D448,ExportPlatform,$N$7:N448,"Ready",$A$7:A448,"&lt;&gt;"),"")</f>
        <v/>
      </c>
    </row>
    <row r="449">
      <c r="A449" s="20" t="n"/>
      <c r="B449" s="21" t="n"/>
      <c r="C449" s="22">
        <f>IF(A449="","",CHOOSE(WEEKDAY(A449,2),"Mon","Tue","Wed","Thu","Fri","Sat","Sun"))</f>
        <v/>
      </c>
      <c r="D449" s="23" t="n"/>
      <c r="E449" s="23" t="n"/>
      <c r="F449" s="23" t="n"/>
      <c r="G449" s="24" t="n"/>
      <c r="H449" s="24" t="n"/>
      <c r="I449" s="22">
        <f>IF(H449="","",LEN(H449))</f>
        <v/>
      </c>
      <c r="J449" s="25">
        <f>IF(D449="","",IFERROR(INDEX(PlatformLimits,MATCH(D449,PlatformNames,0)),""))</f>
        <v/>
      </c>
      <c r="K449" s="24" t="n"/>
      <c r="L449" s="23" t="n"/>
      <c r="M449" s="23" t="n"/>
      <c r="N449" s="23" t="n"/>
      <c r="O449" s="24" t="n"/>
      <c r="P449" s="22">
        <f>IF(AND(D449=ExportPlatform,N449="Ready",A449&lt;&gt;""),COUNTIFS($D$7:D449,ExportPlatform,$N$7:N449,"Ready",$A$7:A449,"&lt;&gt;"),"")</f>
        <v/>
      </c>
    </row>
    <row r="450">
      <c r="A450" s="20" t="n"/>
      <c r="B450" s="21" t="n"/>
      <c r="C450" s="22">
        <f>IF(A450="","",CHOOSE(WEEKDAY(A450,2),"Mon","Tue","Wed","Thu","Fri","Sat","Sun"))</f>
        <v/>
      </c>
      <c r="D450" s="23" t="n"/>
      <c r="E450" s="23" t="n"/>
      <c r="F450" s="23" t="n"/>
      <c r="G450" s="24" t="n"/>
      <c r="H450" s="24" t="n"/>
      <c r="I450" s="22">
        <f>IF(H450="","",LEN(H450))</f>
        <v/>
      </c>
      <c r="J450" s="25">
        <f>IF(D450="","",IFERROR(INDEX(PlatformLimits,MATCH(D450,PlatformNames,0)),""))</f>
        <v/>
      </c>
      <c r="K450" s="24" t="n"/>
      <c r="L450" s="23" t="n"/>
      <c r="M450" s="23" t="n"/>
      <c r="N450" s="23" t="n"/>
      <c r="O450" s="24" t="n"/>
      <c r="P450" s="22">
        <f>IF(AND(D450=ExportPlatform,N450="Ready",A450&lt;&gt;""),COUNTIFS($D$7:D450,ExportPlatform,$N$7:N450,"Ready",$A$7:A450,"&lt;&gt;"),"")</f>
        <v/>
      </c>
    </row>
    <row r="451">
      <c r="A451" s="20" t="n"/>
      <c r="B451" s="21" t="n"/>
      <c r="C451" s="22">
        <f>IF(A451="","",CHOOSE(WEEKDAY(A451,2),"Mon","Tue","Wed","Thu","Fri","Sat","Sun"))</f>
        <v/>
      </c>
      <c r="D451" s="23" t="n"/>
      <c r="E451" s="23" t="n"/>
      <c r="F451" s="23" t="n"/>
      <c r="G451" s="24" t="n"/>
      <c r="H451" s="24" t="n"/>
      <c r="I451" s="22">
        <f>IF(H451="","",LEN(H451))</f>
        <v/>
      </c>
      <c r="J451" s="25">
        <f>IF(D451="","",IFERROR(INDEX(PlatformLimits,MATCH(D451,PlatformNames,0)),""))</f>
        <v/>
      </c>
      <c r="K451" s="24" t="n"/>
      <c r="L451" s="23" t="n"/>
      <c r="M451" s="23" t="n"/>
      <c r="N451" s="23" t="n"/>
      <c r="O451" s="24" t="n"/>
      <c r="P451" s="22">
        <f>IF(AND(D451=ExportPlatform,N451="Ready",A451&lt;&gt;""),COUNTIFS($D$7:D451,ExportPlatform,$N$7:N451,"Ready",$A$7:A451,"&lt;&gt;"),"")</f>
        <v/>
      </c>
    </row>
    <row r="452">
      <c r="A452" s="20" t="n"/>
      <c r="B452" s="21" t="n"/>
      <c r="C452" s="22">
        <f>IF(A452="","",CHOOSE(WEEKDAY(A452,2),"Mon","Tue","Wed","Thu","Fri","Sat","Sun"))</f>
        <v/>
      </c>
      <c r="D452" s="23" t="n"/>
      <c r="E452" s="23" t="n"/>
      <c r="F452" s="23" t="n"/>
      <c r="G452" s="24" t="n"/>
      <c r="H452" s="24" t="n"/>
      <c r="I452" s="22">
        <f>IF(H452="","",LEN(H452))</f>
        <v/>
      </c>
      <c r="J452" s="25">
        <f>IF(D452="","",IFERROR(INDEX(PlatformLimits,MATCH(D452,PlatformNames,0)),""))</f>
        <v/>
      </c>
      <c r="K452" s="24" t="n"/>
      <c r="L452" s="23" t="n"/>
      <c r="M452" s="23" t="n"/>
      <c r="N452" s="23" t="n"/>
      <c r="O452" s="24" t="n"/>
      <c r="P452" s="22">
        <f>IF(AND(D452=ExportPlatform,N452="Ready",A452&lt;&gt;""),COUNTIFS($D$7:D452,ExportPlatform,$N$7:N452,"Ready",$A$7:A452,"&lt;&gt;"),"")</f>
        <v/>
      </c>
    </row>
    <row r="453">
      <c r="A453" s="20" t="n"/>
      <c r="B453" s="21" t="n"/>
      <c r="C453" s="22">
        <f>IF(A453="","",CHOOSE(WEEKDAY(A453,2),"Mon","Tue","Wed","Thu","Fri","Sat","Sun"))</f>
        <v/>
      </c>
      <c r="D453" s="23" t="n"/>
      <c r="E453" s="23" t="n"/>
      <c r="F453" s="23" t="n"/>
      <c r="G453" s="24" t="n"/>
      <c r="H453" s="24" t="n"/>
      <c r="I453" s="22">
        <f>IF(H453="","",LEN(H453))</f>
        <v/>
      </c>
      <c r="J453" s="25">
        <f>IF(D453="","",IFERROR(INDEX(PlatformLimits,MATCH(D453,PlatformNames,0)),""))</f>
        <v/>
      </c>
      <c r="K453" s="24" t="n"/>
      <c r="L453" s="23" t="n"/>
      <c r="M453" s="23" t="n"/>
      <c r="N453" s="23" t="n"/>
      <c r="O453" s="24" t="n"/>
      <c r="P453" s="22">
        <f>IF(AND(D453=ExportPlatform,N453="Ready",A453&lt;&gt;""),COUNTIFS($D$7:D453,ExportPlatform,$N$7:N453,"Ready",$A$7:A453,"&lt;&gt;"),"")</f>
        <v/>
      </c>
    </row>
    <row r="454">
      <c r="A454" s="20" t="n"/>
      <c r="B454" s="21" t="n"/>
      <c r="C454" s="22">
        <f>IF(A454="","",CHOOSE(WEEKDAY(A454,2),"Mon","Tue","Wed","Thu","Fri","Sat","Sun"))</f>
        <v/>
      </c>
      <c r="D454" s="23" t="n"/>
      <c r="E454" s="23" t="n"/>
      <c r="F454" s="23" t="n"/>
      <c r="G454" s="24" t="n"/>
      <c r="H454" s="24" t="n"/>
      <c r="I454" s="22">
        <f>IF(H454="","",LEN(H454))</f>
        <v/>
      </c>
      <c r="J454" s="25">
        <f>IF(D454="","",IFERROR(INDEX(PlatformLimits,MATCH(D454,PlatformNames,0)),""))</f>
        <v/>
      </c>
      <c r="K454" s="24" t="n"/>
      <c r="L454" s="23" t="n"/>
      <c r="M454" s="23" t="n"/>
      <c r="N454" s="23" t="n"/>
      <c r="O454" s="24" t="n"/>
      <c r="P454" s="22">
        <f>IF(AND(D454=ExportPlatform,N454="Ready",A454&lt;&gt;""),COUNTIFS($D$7:D454,ExportPlatform,$N$7:N454,"Ready",$A$7:A454,"&lt;&gt;"),"")</f>
        <v/>
      </c>
    </row>
    <row r="455">
      <c r="A455" s="20" t="n"/>
      <c r="B455" s="21" t="n"/>
      <c r="C455" s="22">
        <f>IF(A455="","",CHOOSE(WEEKDAY(A455,2),"Mon","Tue","Wed","Thu","Fri","Sat","Sun"))</f>
        <v/>
      </c>
      <c r="D455" s="23" t="n"/>
      <c r="E455" s="23" t="n"/>
      <c r="F455" s="23" t="n"/>
      <c r="G455" s="24" t="n"/>
      <c r="H455" s="24" t="n"/>
      <c r="I455" s="22">
        <f>IF(H455="","",LEN(H455))</f>
        <v/>
      </c>
      <c r="J455" s="25">
        <f>IF(D455="","",IFERROR(INDEX(PlatformLimits,MATCH(D455,PlatformNames,0)),""))</f>
        <v/>
      </c>
      <c r="K455" s="24" t="n"/>
      <c r="L455" s="23" t="n"/>
      <c r="M455" s="23" t="n"/>
      <c r="N455" s="23" t="n"/>
      <c r="O455" s="24" t="n"/>
      <c r="P455" s="22">
        <f>IF(AND(D455=ExportPlatform,N455="Ready",A455&lt;&gt;""),COUNTIFS($D$7:D455,ExportPlatform,$N$7:N455,"Ready",$A$7:A455,"&lt;&gt;"),"")</f>
        <v/>
      </c>
    </row>
    <row r="456">
      <c r="A456" s="20" t="n"/>
      <c r="B456" s="21" t="n"/>
      <c r="C456" s="22">
        <f>IF(A456="","",CHOOSE(WEEKDAY(A456,2),"Mon","Tue","Wed","Thu","Fri","Sat","Sun"))</f>
        <v/>
      </c>
      <c r="D456" s="23" t="n"/>
      <c r="E456" s="23" t="n"/>
      <c r="F456" s="23" t="n"/>
      <c r="G456" s="24" t="n"/>
      <c r="H456" s="24" t="n"/>
      <c r="I456" s="22">
        <f>IF(H456="","",LEN(H456))</f>
        <v/>
      </c>
      <c r="J456" s="25">
        <f>IF(D456="","",IFERROR(INDEX(PlatformLimits,MATCH(D456,PlatformNames,0)),""))</f>
        <v/>
      </c>
      <c r="K456" s="24" t="n"/>
      <c r="L456" s="23" t="n"/>
      <c r="M456" s="23" t="n"/>
      <c r="N456" s="23" t="n"/>
      <c r="O456" s="24" t="n"/>
      <c r="P456" s="22">
        <f>IF(AND(D456=ExportPlatform,N456="Ready",A456&lt;&gt;""),COUNTIFS($D$7:D456,ExportPlatform,$N$7:N456,"Ready",$A$7:A456,"&lt;&gt;"),"")</f>
        <v/>
      </c>
    </row>
    <row r="457">
      <c r="A457" s="20" t="n"/>
      <c r="B457" s="21" t="n"/>
      <c r="C457" s="22">
        <f>IF(A457="","",CHOOSE(WEEKDAY(A457,2),"Mon","Tue","Wed","Thu","Fri","Sat","Sun"))</f>
        <v/>
      </c>
      <c r="D457" s="23" t="n"/>
      <c r="E457" s="23" t="n"/>
      <c r="F457" s="23" t="n"/>
      <c r="G457" s="24" t="n"/>
      <c r="H457" s="24" t="n"/>
      <c r="I457" s="22">
        <f>IF(H457="","",LEN(H457))</f>
        <v/>
      </c>
      <c r="J457" s="25">
        <f>IF(D457="","",IFERROR(INDEX(PlatformLimits,MATCH(D457,PlatformNames,0)),""))</f>
        <v/>
      </c>
      <c r="K457" s="24" t="n"/>
      <c r="L457" s="23" t="n"/>
      <c r="M457" s="23" t="n"/>
      <c r="N457" s="23" t="n"/>
      <c r="O457" s="24" t="n"/>
      <c r="P457" s="22">
        <f>IF(AND(D457=ExportPlatform,N457="Ready",A457&lt;&gt;""),COUNTIFS($D$7:D457,ExportPlatform,$N$7:N457,"Ready",$A$7:A457,"&lt;&gt;"),"")</f>
        <v/>
      </c>
    </row>
    <row r="458">
      <c r="A458" s="20" t="n"/>
      <c r="B458" s="21" t="n"/>
      <c r="C458" s="22">
        <f>IF(A458="","",CHOOSE(WEEKDAY(A458,2),"Mon","Tue","Wed","Thu","Fri","Sat","Sun"))</f>
        <v/>
      </c>
      <c r="D458" s="23" t="n"/>
      <c r="E458" s="23" t="n"/>
      <c r="F458" s="23" t="n"/>
      <c r="G458" s="24" t="n"/>
      <c r="H458" s="24" t="n"/>
      <c r="I458" s="22">
        <f>IF(H458="","",LEN(H458))</f>
        <v/>
      </c>
      <c r="J458" s="25">
        <f>IF(D458="","",IFERROR(INDEX(PlatformLimits,MATCH(D458,PlatformNames,0)),""))</f>
        <v/>
      </c>
      <c r="K458" s="24" t="n"/>
      <c r="L458" s="23" t="n"/>
      <c r="M458" s="23" t="n"/>
      <c r="N458" s="23" t="n"/>
      <c r="O458" s="24" t="n"/>
      <c r="P458" s="22">
        <f>IF(AND(D458=ExportPlatform,N458="Ready",A458&lt;&gt;""),COUNTIFS($D$7:D458,ExportPlatform,$N$7:N458,"Ready",$A$7:A458,"&lt;&gt;"),"")</f>
        <v/>
      </c>
    </row>
    <row r="459">
      <c r="A459" s="20" t="n"/>
      <c r="B459" s="21" t="n"/>
      <c r="C459" s="22">
        <f>IF(A459="","",CHOOSE(WEEKDAY(A459,2),"Mon","Tue","Wed","Thu","Fri","Sat","Sun"))</f>
        <v/>
      </c>
      <c r="D459" s="23" t="n"/>
      <c r="E459" s="23" t="n"/>
      <c r="F459" s="23" t="n"/>
      <c r="G459" s="24" t="n"/>
      <c r="H459" s="24" t="n"/>
      <c r="I459" s="22">
        <f>IF(H459="","",LEN(H459))</f>
        <v/>
      </c>
      <c r="J459" s="25">
        <f>IF(D459="","",IFERROR(INDEX(PlatformLimits,MATCH(D459,PlatformNames,0)),""))</f>
        <v/>
      </c>
      <c r="K459" s="24" t="n"/>
      <c r="L459" s="23" t="n"/>
      <c r="M459" s="23" t="n"/>
      <c r="N459" s="23" t="n"/>
      <c r="O459" s="24" t="n"/>
      <c r="P459" s="22">
        <f>IF(AND(D459=ExportPlatform,N459="Ready",A459&lt;&gt;""),COUNTIFS($D$7:D459,ExportPlatform,$N$7:N459,"Ready",$A$7:A459,"&lt;&gt;"),"")</f>
        <v/>
      </c>
    </row>
    <row r="460">
      <c r="A460" s="20" t="n"/>
      <c r="B460" s="21" t="n"/>
      <c r="C460" s="22">
        <f>IF(A460="","",CHOOSE(WEEKDAY(A460,2),"Mon","Tue","Wed","Thu","Fri","Sat","Sun"))</f>
        <v/>
      </c>
      <c r="D460" s="23" t="n"/>
      <c r="E460" s="23" t="n"/>
      <c r="F460" s="23" t="n"/>
      <c r="G460" s="24" t="n"/>
      <c r="H460" s="24" t="n"/>
      <c r="I460" s="22">
        <f>IF(H460="","",LEN(H460))</f>
        <v/>
      </c>
      <c r="J460" s="25">
        <f>IF(D460="","",IFERROR(INDEX(PlatformLimits,MATCH(D460,PlatformNames,0)),""))</f>
        <v/>
      </c>
      <c r="K460" s="24" t="n"/>
      <c r="L460" s="23" t="n"/>
      <c r="M460" s="23" t="n"/>
      <c r="N460" s="23" t="n"/>
      <c r="O460" s="24" t="n"/>
      <c r="P460" s="22">
        <f>IF(AND(D460=ExportPlatform,N460="Ready",A460&lt;&gt;""),COUNTIFS($D$7:D460,ExportPlatform,$N$7:N460,"Ready",$A$7:A460,"&lt;&gt;"),"")</f>
        <v/>
      </c>
    </row>
    <row r="461">
      <c r="A461" s="20" t="n"/>
      <c r="B461" s="21" t="n"/>
      <c r="C461" s="22">
        <f>IF(A461="","",CHOOSE(WEEKDAY(A461,2),"Mon","Tue","Wed","Thu","Fri","Sat","Sun"))</f>
        <v/>
      </c>
      <c r="D461" s="23" t="n"/>
      <c r="E461" s="23" t="n"/>
      <c r="F461" s="23" t="n"/>
      <c r="G461" s="24" t="n"/>
      <c r="H461" s="24" t="n"/>
      <c r="I461" s="22">
        <f>IF(H461="","",LEN(H461))</f>
        <v/>
      </c>
      <c r="J461" s="25">
        <f>IF(D461="","",IFERROR(INDEX(PlatformLimits,MATCH(D461,PlatformNames,0)),""))</f>
        <v/>
      </c>
      <c r="K461" s="24" t="n"/>
      <c r="L461" s="23" t="n"/>
      <c r="M461" s="23" t="n"/>
      <c r="N461" s="23" t="n"/>
      <c r="O461" s="24" t="n"/>
      <c r="P461" s="22">
        <f>IF(AND(D461=ExportPlatform,N461="Ready",A461&lt;&gt;""),COUNTIFS($D$7:D461,ExportPlatform,$N$7:N461,"Ready",$A$7:A461,"&lt;&gt;"),"")</f>
        <v/>
      </c>
    </row>
    <row r="462">
      <c r="A462" s="20" t="n"/>
      <c r="B462" s="21" t="n"/>
      <c r="C462" s="22">
        <f>IF(A462="","",CHOOSE(WEEKDAY(A462,2),"Mon","Tue","Wed","Thu","Fri","Sat","Sun"))</f>
        <v/>
      </c>
      <c r="D462" s="23" t="n"/>
      <c r="E462" s="23" t="n"/>
      <c r="F462" s="23" t="n"/>
      <c r="G462" s="24" t="n"/>
      <c r="H462" s="24" t="n"/>
      <c r="I462" s="22">
        <f>IF(H462="","",LEN(H462))</f>
        <v/>
      </c>
      <c r="J462" s="25">
        <f>IF(D462="","",IFERROR(INDEX(PlatformLimits,MATCH(D462,PlatformNames,0)),""))</f>
        <v/>
      </c>
      <c r="K462" s="24" t="n"/>
      <c r="L462" s="23" t="n"/>
      <c r="M462" s="23" t="n"/>
      <c r="N462" s="23" t="n"/>
      <c r="O462" s="24" t="n"/>
      <c r="P462" s="22">
        <f>IF(AND(D462=ExportPlatform,N462="Ready",A462&lt;&gt;""),COUNTIFS($D$7:D462,ExportPlatform,$N$7:N462,"Ready",$A$7:A462,"&lt;&gt;"),"")</f>
        <v/>
      </c>
    </row>
    <row r="463">
      <c r="A463" s="20" t="n"/>
      <c r="B463" s="21" t="n"/>
      <c r="C463" s="22">
        <f>IF(A463="","",CHOOSE(WEEKDAY(A463,2),"Mon","Tue","Wed","Thu","Fri","Sat","Sun"))</f>
        <v/>
      </c>
      <c r="D463" s="23" t="n"/>
      <c r="E463" s="23" t="n"/>
      <c r="F463" s="23" t="n"/>
      <c r="G463" s="24" t="n"/>
      <c r="H463" s="24" t="n"/>
      <c r="I463" s="22">
        <f>IF(H463="","",LEN(H463))</f>
        <v/>
      </c>
      <c r="J463" s="25">
        <f>IF(D463="","",IFERROR(INDEX(PlatformLimits,MATCH(D463,PlatformNames,0)),""))</f>
        <v/>
      </c>
      <c r="K463" s="24" t="n"/>
      <c r="L463" s="23" t="n"/>
      <c r="M463" s="23" t="n"/>
      <c r="N463" s="23" t="n"/>
      <c r="O463" s="24" t="n"/>
      <c r="P463" s="22">
        <f>IF(AND(D463=ExportPlatform,N463="Ready",A463&lt;&gt;""),COUNTIFS($D$7:D463,ExportPlatform,$N$7:N463,"Ready",$A$7:A463,"&lt;&gt;"),"")</f>
        <v/>
      </c>
    </row>
    <row r="464">
      <c r="A464" s="20" t="n"/>
      <c r="B464" s="21" t="n"/>
      <c r="C464" s="22">
        <f>IF(A464="","",CHOOSE(WEEKDAY(A464,2),"Mon","Tue","Wed","Thu","Fri","Sat","Sun"))</f>
        <v/>
      </c>
      <c r="D464" s="23" t="n"/>
      <c r="E464" s="23" t="n"/>
      <c r="F464" s="23" t="n"/>
      <c r="G464" s="24" t="n"/>
      <c r="H464" s="24" t="n"/>
      <c r="I464" s="22">
        <f>IF(H464="","",LEN(H464))</f>
        <v/>
      </c>
      <c r="J464" s="25">
        <f>IF(D464="","",IFERROR(INDEX(PlatformLimits,MATCH(D464,PlatformNames,0)),""))</f>
        <v/>
      </c>
      <c r="K464" s="24" t="n"/>
      <c r="L464" s="23" t="n"/>
      <c r="M464" s="23" t="n"/>
      <c r="N464" s="23" t="n"/>
      <c r="O464" s="24" t="n"/>
      <c r="P464" s="22">
        <f>IF(AND(D464=ExportPlatform,N464="Ready",A464&lt;&gt;""),COUNTIFS($D$7:D464,ExportPlatform,$N$7:N464,"Ready",$A$7:A464,"&lt;&gt;"),"")</f>
        <v/>
      </c>
    </row>
    <row r="465">
      <c r="A465" s="20" t="n"/>
      <c r="B465" s="21" t="n"/>
      <c r="C465" s="22">
        <f>IF(A465="","",CHOOSE(WEEKDAY(A465,2),"Mon","Tue","Wed","Thu","Fri","Sat","Sun"))</f>
        <v/>
      </c>
      <c r="D465" s="23" t="n"/>
      <c r="E465" s="23" t="n"/>
      <c r="F465" s="23" t="n"/>
      <c r="G465" s="24" t="n"/>
      <c r="H465" s="24" t="n"/>
      <c r="I465" s="22">
        <f>IF(H465="","",LEN(H465))</f>
        <v/>
      </c>
      <c r="J465" s="25">
        <f>IF(D465="","",IFERROR(INDEX(PlatformLimits,MATCH(D465,PlatformNames,0)),""))</f>
        <v/>
      </c>
      <c r="K465" s="24" t="n"/>
      <c r="L465" s="23" t="n"/>
      <c r="M465" s="23" t="n"/>
      <c r="N465" s="23" t="n"/>
      <c r="O465" s="24" t="n"/>
      <c r="P465" s="22">
        <f>IF(AND(D465=ExportPlatform,N465="Ready",A465&lt;&gt;""),COUNTIFS($D$7:D465,ExportPlatform,$N$7:N465,"Ready",$A$7:A465,"&lt;&gt;"),"")</f>
        <v/>
      </c>
    </row>
    <row r="466">
      <c r="A466" s="20" t="n"/>
      <c r="B466" s="21" t="n"/>
      <c r="C466" s="22">
        <f>IF(A466="","",CHOOSE(WEEKDAY(A466,2),"Mon","Tue","Wed","Thu","Fri","Sat","Sun"))</f>
        <v/>
      </c>
      <c r="D466" s="23" t="n"/>
      <c r="E466" s="23" t="n"/>
      <c r="F466" s="23" t="n"/>
      <c r="G466" s="24" t="n"/>
      <c r="H466" s="24" t="n"/>
      <c r="I466" s="22">
        <f>IF(H466="","",LEN(H466))</f>
        <v/>
      </c>
      <c r="J466" s="25">
        <f>IF(D466="","",IFERROR(INDEX(PlatformLimits,MATCH(D466,PlatformNames,0)),""))</f>
        <v/>
      </c>
      <c r="K466" s="24" t="n"/>
      <c r="L466" s="23" t="n"/>
      <c r="M466" s="23" t="n"/>
      <c r="N466" s="23" t="n"/>
      <c r="O466" s="24" t="n"/>
      <c r="P466" s="22">
        <f>IF(AND(D466=ExportPlatform,N466="Ready",A466&lt;&gt;""),COUNTIFS($D$7:D466,ExportPlatform,$N$7:N466,"Ready",$A$7:A466,"&lt;&gt;"),"")</f>
        <v/>
      </c>
    </row>
    <row r="467">
      <c r="A467" s="20" t="n"/>
      <c r="B467" s="21" t="n"/>
      <c r="C467" s="22">
        <f>IF(A467="","",CHOOSE(WEEKDAY(A467,2),"Mon","Tue","Wed","Thu","Fri","Sat","Sun"))</f>
        <v/>
      </c>
      <c r="D467" s="23" t="n"/>
      <c r="E467" s="23" t="n"/>
      <c r="F467" s="23" t="n"/>
      <c r="G467" s="24" t="n"/>
      <c r="H467" s="24" t="n"/>
      <c r="I467" s="22">
        <f>IF(H467="","",LEN(H467))</f>
        <v/>
      </c>
      <c r="J467" s="25">
        <f>IF(D467="","",IFERROR(INDEX(PlatformLimits,MATCH(D467,PlatformNames,0)),""))</f>
        <v/>
      </c>
      <c r="K467" s="24" t="n"/>
      <c r="L467" s="23" t="n"/>
      <c r="M467" s="23" t="n"/>
      <c r="N467" s="23" t="n"/>
      <c r="O467" s="24" t="n"/>
      <c r="P467" s="22">
        <f>IF(AND(D467=ExportPlatform,N467="Ready",A467&lt;&gt;""),COUNTIFS($D$7:D467,ExportPlatform,$N$7:N467,"Ready",$A$7:A467,"&lt;&gt;"),"")</f>
        <v/>
      </c>
    </row>
    <row r="468">
      <c r="A468" s="20" t="n"/>
      <c r="B468" s="21" t="n"/>
      <c r="C468" s="22">
        <f>IF(A468="","",CHOOSE(WEEKDAY(A468,2),"Mon","Tue","Wed","Thu","Fri","Sat","Sun"))</f>
        <v/>
      </c>
      <c r="D468" s="23" t="n"/>
      <c r="E468" s="23" t="n"/>
      <c r="F468" s="23" t="n"/>
      <c r="G468" s="24" t="n"/>
      <c r="H468" s="24" t="n"/>
      <c r="I468" s="22">
        <f>IF(H468="","",LEN(H468))</f>
        <v/>
      </c>
      <c r="J468" s="25">
        <f>IF(D468="","",IFERROR(INDEX(PlatformLimits,MATCH(D468,PlatformNames,0)),""))</f>
        <v/>
      </c>
      <c r="K468" s="24" t="n"/>
      <c r="L468" s="23" t="n"/>
      <c r="M468" s="23" t="n"/>
      <c r="N468" s="23" t="n"/>
      <c r="O468" s="24" t="n"/>
      <c r="P468" s="22">
        <f>IF(AND(D468=ExportPlatform,N468="Ready",A468&lt;&gt;""),COUNTIFS($D$7:D468,ExportPlatform,$N$7:N468,"Ready",$A$7:A468,"&lt;&gt;"),"")</f>
        <v/>
      </c>
    </row>
    <row r="469">
      <c r="A469" s="20" t="n"/>
      <c r="B469" s="21" t="n"/>
      <c r="C469" s="22">
        <f>IF(A469="","",CHOOSE(WEEKDAY(A469,2),"Mon","Tue","Wed","Thu","Fri","Sat","Sun"))</f>
        <v/>
      </c>
      <c r="D469" s="23" t="n"/>
      <c r="E469" s="23" t="n"/>
      <c r="F469" s="23" t="n"/>
      <c r="G469" s="24" t="n"/>
      <c r="H469" s="24" t="n"/>
      <c r="I469" s="22">
        <f>IF(H469="","",LEN(H469))</f>
        <v/>
      </c>
      <c r="J469" s="25">
        <f>IF(D469="","",IFERROR(INDEX(PlatformLimits,MATCH(D469,PlatformNames,0)),""))</f>
        <v/>
      </c>
      <c r="K469" s="24" t="n"/>
      <c r="L469" s="23" t="n"/>
      <c r="M469" s="23" t="n"/>
      <c r="N469" s="23" t="n"/>
      <c r="O469" s="24" t="n"/>
      <c r="P469" s="22">
        <f>IF(AND(D469=ExportPlatform,N469="Ready",A469&lt;&gt;""),COUNTIFS($D$7:D469,ExportPlatform,$N$7:N469,"Ready",$A$7:A469,"&lt;&gt;"),"")</f>
        <v/>
      </c>
    </row>
    <row r="470">
      <c r="A470" s="20" t="n"/>
      <c r="B470" s="21" t="n"/>
      <c r="C470" s="22">
        <f>IF(A470="","",CHOOSE(WEEKDAY(A470,2),"Mon","Tue","Wed","Thu","Fri","Sat","Sun"))</f>
        <v/>
      </c>
      <c r="D470" s="23" t="n"/>
      <c r="E470" s="23" t="n"/>
      <c r="F470" s="23" t="n"/>
      <c r="G470" s="24" t="n"/>
      <c r="H470" s="24" t="n"/>
      <c r="I470" s="22">
        <f>IF(H470="","",LEN(H470))</f>
        <v/>
      </c>
      <c r="J470" s="25">
        <f>IF(D470="","",IFERROR(INDEX(PlatformLimits,MATCH(D470,PlatformNames,0)),""))</f>
        <v/>
      </c>
      <c r="K470" s="24" t="n"/>
      <c r="L470" s="23" t="n"/>
      <c r="M470" s="23" t="n"/>
      <c r="N470" s="23" t="n"/>
      <c r="O470" s="24" t="n"/>
      <c r="P470" s="22">
        <f>IF(AND(D470=ExportPlatform,N470="Ready",A470&lt;&gt;""),COUNTIFS($D$7:D470,ExportPlatform,$N$7:N470,"Ready",$A$7:A470,"&lt;&gt;"),"")</f>
        <v/>
      </c>
    </row>
    <row r="471">
      <c r="A471" s="20" t="n"/>
      <c r="B471" s="21" t="n"/>
      <c r="C471" s="22">
        <f>IF(A471="","",CHOOSE(WEEKDAY(A471,2),"Mon","Tue","Wed","Thu","Fri","Sat","Sun"))</f>
        <v/>
      </c>
      <c r="D471" s="23" t="n"/>
      <c r="E471" s="23" t="n"/>
      <c r="F471" s="23" t="n"/>
      <c r="G471" s="24" t="n"/>
      <c r="H471" s="24" t="n"/>
      <c r="I471" s="22">
        <f>IF(H471="","",LEN(H471))</f>
        <v/>
      </c>
      <c r="J471" s="25">
        <f>IF(D471="","",IFERROR(INDEX(PlatformLimits,MATCH(D471,PlatformNames,0)),""))</f>
        <v/>
      </c>
      <c r="K471" s="24" t="n"/>
      <c r="L471" s="23" t="n"/>
      <c r="M471" s="23" t="n"/>
      <c r="N471" s="23" t="n"/>
      <c r="O471" s="24" t="n"/>
      <c r="P471" s="22">
        <f>IF(AND(D471=ExportPlatform,N471="Ready",A471&lt;&gt;""),COUNTIFS($D$7:D471,ExportPlatform,$N$7:N471,"Ready",$A$7:A471,"&lt;&gt;"),"")</f>
        <v/>
      </c>
    </row>
    <row r="472">
      <c r="A472" s="20" t="n"/>
      <c r="B472" s="21" t="n"/>
      <c r="C472" s="22">
        <f>IF(A472="","",CHOOSE(WEEKDAY(A472,2),"Mon","Tue","Wed","Thu","Fri","Sat","Sun"))</f>
        <v/>
      </c>
      <c r="D472" s="23" t="n"/>
      <c r="E472" s="23" t="n"/>
      <c r="F472" s="23" t="n"/>
      <c r="G472" s="24" t="n"/>
      <c r="H472" s="24" t="n"/>
      <c r="I472" s="22">
        <f>IF(H472="","",LEN(H472))</f>
        <v/>
      </c>
      <c r="J472" s="25">
        <f>IF(D472="","",IFERROR(INDEX(PlatformLimits,MATCH(D472,PlatformNames,0)),""))</f>
        <v/>
      </c>
      <c r="K472" s="24" t="n"/>
      <c r="L472" s="23" t="n"/>
      <c r="M472" s="23" t="n"/>
      <c r="N472" s="23" t="n"/>
      <c r="O472" s="24" t="n"/>
      <c r="P472" s="22">
        <f>IF(AND(D472=ExportPlatform,N472="Ready",A472&lt;&gt;""),COUNTIFS($D$7:D472,ExportPlatform,$N$7:N472,"Ready",$A$7:A472,"&lt;&gt;"),"")</f>
        <v/>
      </c>
    </row>
    <row r="473">
      <c r="A473" s="20" t="n"/>
      <c r="B473" s="21" t="n"/>
      <c r="C473" s="22">
        <f>IF(A473="","",CHOOSE(WEEKDAY(A473,2),"Mon","Tue","Wed","Thu","Fri","Sat","Sun"))</f>
        <v/>
      </c>
      <c r="D473" s="23" t="n"/>
      <c r="E473" s="23" t="n"/>
      <c r="F473" s="23" t="n"/>
      <c r="G473" s="24" t="n"/>
      <c r="H473" s="24" t="n"/>
      <c r="I473" s="22">
        <f>IF(H473="","",LEN(H473))</f>
        <v/>
      </c>
      <c r="J473" s="25">
        <f>IF(D473="","",IFERROR(INDEX(PlatformLimits,MATCH(D473,PlatformNames,0)),""))</f>
        <v/>
      </c>
      <c r="K473" s="24" t="n"/>
      <c r="L473" s="23" t="n"/>
      <c r="M473" s="23" t="n"/>
      <c r="N473" s="23" t="n"/>
      <c r="O473" s="24" t="n"/>
      <c r="P473" s="22">
        <f>IF(AND(D473=ExportPlatform,N473="Ready",A473&lt;&gt;""),COUNTIFS($D$7:D473,ExportPlatform,$N$7:N473,"Ready",$A$7:A473,"&lt;&gt;"),"")</f>
        <v/>
      </c>
    </row>
    <row r="474">
      <c r="A474" s="20" t="n"/>
      <c r="B474" s="21" t="n"/>
      <c r="C474" s="22">
        <f>IF(A474="","",CHOOSE(WEEKDAY(A474,2),"Mon","Tue","Wed","Thu","Fri","Sat","Sun"))</f>
        <v/>
      </c>
      <c r="D474" s="23" t="n"/>
      <c r="E474" s="23" t="n"/>
      <c r="F474" s="23" t="n"/>
      <c r="G474" s="24" t="n"/>
      <c r="H474" s="24" t="n"/>
      <c r="I474" s="22">
        <f>IF(H474="","",LEN(H474))</f>
        <v/>
      </c>
      <c r="J474" s="25">
        <f>IF(D474="","",IFERROR(INDEX(PlatformLimits,MATCH(D474,PlatformNames,0)),""))</f>
        <v/>
      </c>
      <c r="K474" s="24" t="n"/>
      <c r="L474" s="23" t="n"/>
      <c r="M474" s="23" t="n"/>
      <c r="N474" s="23" t="n"/>
      <c r="O474" s="24" t="n"/>
      <c r="P474" s="22">
        <f>IF(AND(D474=ExportPlatform,N474="Ready",A474&lt;&gt;""),COUNTIFS($D$7:D474,ExportPlatform,$N$7:N474,"Ready",$A$7:A474,"&lt;&gt;"),"")</f>
        <v/>
      </c>
    </row>
    <row r="475">
      <c r="A475" s="20" t="n"/>
      <c r="B475" s="21" t="n"/>
      <c r="C475" s="22">
        <f>IF(A475="","",CHOOSE(WEEKDAY(A475,2),"Mon","Tue","Wed","Thu","Fri","Sat","Sun"))</f>
        <v/>
      </c>
      <c r="D475" s="23" t="n"/>
      <c r="E475" s="23" t="n"/>
      <c r="F475" s="23" t="n"/>
      <c r="G475" s="24" t="n"/>
      <c r="H475" s="24" t="n"/>
      <c r="I475" s="22">
        <f>IF(H475="","",LEN(H475))</f>
        <v/>
      </c>
      <c r="J475" s="25">
        <f>IF(D475="","",IFERROR(INDEX(PlatformLimits,MATCH(D475,PlatformNames,0)),""))</f>
        <v/>
      </c>
      <c r="K475" s="24" t="n"/>
      <c r="L475" s="23" t="n"/>
      <c r="M475" s="23" t="n"/>
      <c r="N475" s="23" t="n"/>
      <c r="O475" s="24" t="n"/>
      <c r="P475" s="22">
        <f>IF(AND(D475=ExportPlatform,N475="Ready",A475&lt;&gt;""),COUNTIFS($D$7:D475,ExportPlatform,$N$7:N475,"Ready",$A$7:A475,"&lt;&gt;"),"")</f>
        <v/>
      </c>
    </row>
    <row r="476">
      <c r="A476" s="20" t="n"/>
      <c r="B476" s="21" t="n"/>
      <c r="C476" s="22">
        <f>IF(A476="","",CHOOSE(WEEKDAY(A476,2),"Mon","Tue","Wed","Thu","Fri","Sat","Sun"))</f>
        <v/>
      </c>
      <c r="D476" s="23" t="n"/>
      <c r="E476" s="23" t="n"/>
      <c r="F476" s="23" t="n"/>
      <c r="G476" s="24" t="n"/>
      <c r="H476" s="24" t="n"/>
      <c r="I476" s="22">
        <f>IF(H476="","",LEN(H476))</f>
        <v/>
      </c>
      <c r="J476" s="25">
        <f>IF(D476="","",IFERROR(INDEX(PlatformLimits,MATCH(D476,PlatformNames,0)),""))</f>
        <v/>
      </c>
      <c r="K476" s="24" t="n"/>
      <c r="L476" s="23" t="n"/>
      <c r="M476" s="23" t="n"/>
      <c r="N476" s="23" t="n"/>
      <c r="O476" s="24" t="n"/>
      <c r="P476" s="22">
        <f>IF(AND(D476=ExportPlatform,N476="Ready",A476&lt;&gt;""),COUNTIFS($D$7:D476,ExportPlatform,$N$7:N476,"Ready",$A$7:A476,"&lt;&gt;"),"")</f>
        <v/>
      </c>
    </row>
    <row r="477">
      <c r="A477" s="20" t="n"/>
      <c r="B477" s="21" t="n"/>
      <c r="C477" s="22">
        <f>IF(A477="","",CHOOSE(WEEKDAY(A477,2),"Mon","Tue","Wed","Thu","Fri","Sat","Sun"))</f>
        <v/>
      </c>
      <c r="D477" s="23" t="n"/>
      <c r="E477" s="23" t="n"/>
      <c r="F477" s="23" t="n"/>
      <c r="G477" s="24" t="n"/>
      <c r="H477" s="24" t="n"/>
      <c r="I477" s="22">
        <f>IF(H477="","",LEN(H477))</f>
        <v/>
      </c>
      <c r="J477" s="25">
        <f>IF(D477="","",IFERROR(INDEX(PlatformLimits,MATCH(D477,PlatformNames,0)),""))</f>
        <v/>
      </c>
      <c r="K477" s="24" t="n"/>
      <c r="L477" s="23" t="n"/>
      <c r="M477" s="23" t="n"/>
      <c r="N477" s="23" t="n"/>
      <c r="O477" s="24" t="n"/>
      <c r="P477" s="22">
        <f>IF(AND(D477=ExportPlatform,N477="Ready",A477&lt;&gt;""),COUNTIFS($D$7:D477,ExportPlatform,$N$7:N477,"Ready",$A$7:A477,"&lt;&gt;"),"")</f>
        <v/>
      </c>
    </row>
    <row r="478">
      <c r="A478" s="20" t="n"/>
      <c r="B478" s="21" t="n"/>
      <c r="C478" s="22">
        <f>IF(A478="","",CHOOSE(WEEKDAY(A478,2),"Mon","Tue","Wed","Thu","Fri","Sat","Sun"))</f>
        <v/>
      </c>
      <c r="D478" s="23" t="n"/>
      <c r="E478" s="23" t="n"/>
      <c r="F478" s="23" t="n"/>
      <c r="G478" s="24" t="n"/>
      <c r="H478" s="24" t="n"/>
      <c r="I478" s="22">
        <f>IF(H478="","",LEN(H478))</f>
        <v/>
      </c>
      <c r="J478" s="25">
        <f>IF(D478="","",IFERROR(INDEX(PlatformLimits,MATCH(D478,PlatformNames,0)),""))</f>
        <v/>
      </c>
      <c r="K478" s="24" t="n"/>
      <c r="L478" s="23" t="n"/>
      <c r="M478" s="23" t="n"/>
      <c r="N478" s="23" t="n"/>
      <c r="O478" s="24" t="n"/>
      <c r="P478" s="22">
        <f>IF(AND(D478=ExportPlatform,N478="Ready",A478&lt;&gt;""),COUNTIFS($D$7:D478,ExportPlatform,$N$7:N478,"Ready",$A$7:A478,"&lt;&gt;"),"")</f>
        <v/>
      </c>
    </row>
    <row r="479">
      <c r="A479" s="20" t="n"/>
      <c r="B479" s="21" t="n"/>
      <c r="C479" s="22">
        <f>IF(A479="","",CHOOSE(WEEKDAY(A479,2),"Mon","Tue","Wed","Thu","Fri","Sat","Sun"))</f>
        <v/>
      </c>
      <c r="D479" s="23" t="n"/>
      <c r="E479" s="23" t="n"/>
      <c r="F479" s="23" t="n"/>
      <c r="G479" s="24" t="n"/>
      <c r="H479" s="24" t="n"/>
      <c r="I479" s="22">
        <f>IF(H479="","",LEN(H479))</f>
        <v/>
      </c>
      <c r="J479" s="25">
        <f>IF(D479="","",IFERROR(INDEX(PlatformLimits,MATCH(D479,PlatformNames,0)),""))</f>
        <v/>
      </c>
      <c r="K479" s="24" t="n"/>
      <c r="L479" s="23" t="n"/>
      <c r="M479" s="23" t="n"/>
      <c r="N479" s="23" t="n"/>
      <c r="O479" s="24" t="n"/>
      <c r="P479" s="22">
        <f>IF(AND(D479=ExportPlatform,N479="Ready",A479&lt;&gt;""),COUNTIFS($D$7:D479,ExportPlatform,$N$7:N479,"Ready",$A$7:A479,"&lt;&gt;"),"")</f>
        <v/>
      </c>
    </row>
    <row r="480">
      <c r="A480" s="20" t="n"/>
      <c r="B480" s="21" t="n"/>
      <c r="C480" s="22">
        <f>IF(A480="","",CHOOSE(WEEKDAY(A480,2),"Mon","Tue","Wed","Thu","Fri","Sat","Sun"))</f>
        <v/>
      </c>
      <c r="D480" s="23" t="n"/>
      <c r="E480" s="23" t="n"/>
      <c r="F480" s="23" t="n"/>
      <c r="G480" s="24" t="n"/>
      <c r="H480" s="24" t="n"/>
      <c r="I480" s="22">
        <f>IF(H480="","",LEN(H480))</f>
        <v/>
      </c>
      <c r="J480" s="25">
        <f>IF(D480="","",IFERROR(INDEX(PlatformLimits,MATCH(D480,PlatformNames,0)),""))</f>
        <v/>
      </c>
      <c r="K480" s="24" t="n"/>
      <c r="L480" s="23" t="n"/>
      <c r="M480" s="23" t="n"/>
      <c r="N480" s="23" t="n"/>
      <c r="O480" s="24" t="n"/>
      <c r="P480" s="22">
        <f>IF(AND(D480=ExportPlatform,N480="Ready",A480&lt;&gt;""),COUNTIFS($D$7:D480,ExportPlatform,$N$7:N480,"Ready",$A$7:A480,"&lt;&gt;"),"")</f>
        <v/>
      </c>
    </row>
    <row r="481">
      <c r="A481" s="20" t="n"/>
      <c r="B481" s="21" t="n"/>
      <c r="C481" s="22">
        <f>IF(A481="","",CHOOSE(WEEKDAY(A481,2),"Mon","Tue","Wed","Thu","Fri","Sat","Sun"))</f>
        <v/>
      </c>
      <c r="D481" s="23" t="n"/>
      <c r="E481" s="23" t="n"/>
      <c r="F481" s="23" t="n"/>
      <c r="G481" s="24" t="n"/>
      <c r="H481" s="24" t="n"/>
      <c r="I481" s="22">
        <f>IF(H481="","",LEN(H481))</f>
        <v/>
      </c>
      <c r="J481" s="25">
        <f>IF(D481="","",IFERROR(INDEX(PlatformLimits,MATCH(D481,PlatformNames,0)),""))</f>
        <v/>
      </c>
      <c r="K481" s="24" t="n"/>
      <c r="L481" s="23" t="n"/>
      <c r="M481" s="23" t="n"/>
      <c r="N481" s="23" t="n"/>
      <c r="O481" s="24" t="n"/>
      <c r="P481" s="22">
        <f>IF(AND(D481=ExportPlatform,N481="Ready",A481&lt;&gt;""),COUNTIFS($D$7:D481,ExportPlatform,$N$7:N481,"Ready",$A$7:A481,"&lt;&gt;"),"")</f>
        <v/>
      </c>
    </row>
    <row r="482">
      <c r="A482" s="20" t="n"/>
      <c r="B482" s="21" t="n"/>
      <c r="C482" s="22">
        <f>IF(A482="","",CHOOSE(WEEKDAY(A482,2),"Mon","Tue","Wed","Thu","Fri","Sat","Sun"))</f>
        <v/>
      </c>
      <c r="D482" s="23" t="n"/>
      <c r="E482" s="23" t="n"/>
      <c r="F482" s="23" t="n"/>
      <c r="G482" s="24" t="n"/>
      <c r="H482" s="24" t="n"/>
      <c r="I482" s="22">
        <f>IF(H482="","",LEN(H482))</f>
        <v/>
      </c>
      <c r="J482" s="25">
        <f>IF(D482="","",IFERROR(INDEX(PlatformLimits,MATCH(D482,PlatformNames,0)),""))</f>
        <v/>
      </c>
      <c r="K482" s="24" t="n"/>
      <c r="L482" s="23" t="n"/>
      <c r="M482" s="23" t="n"/>
      <c r="N482" s="23" t="n"/>
      <c r="O482" s="24" t="n"/>
      <c r="P482" s="22">
        <f>IF(AND(D482=ExportPlatform,N482="Ready",A482&lt;&gt;""),COUNTIFS($D$7:D482,ExportPlatform,$N$7:N482,"Ready",$A$7:A482,"&lt;&gt;"),"")</f>
        <v/>
      </c>
    </row>
    <row r="483">
      <c r="A483" s="20" t="n"/>
      <c r="B483" s="21" t="n"/>
      <c r="C483" s="22">
        <f>IF(A483="","",CHOOSE(WEEKDAY(A483,2),"Mon","Tue","Wed","Thu","Fri","Sat","Sun"))</f>
        <v/>
      </c>
      <c r="D483" s="23" t="n"/>
      <c r="E483" s="23" t="n"/>
      <c r="F483" s="23" t="n"/>
      <c r="G483" s="24" t="n"/>
      <c r="H483" s="24" t="n"/>
      <c r="I483" s="22">
        <f>IF(H483="","",LEN(H483))</f>
        <v/>
      </c>
      <c r="J483" s="25">
        <f>IF(D483="","",IFERROR(INDEX(PlatformLimits,MATCH(D483,PlatformNames,0)),""))</f>
        <v/>
      </c>
      <c r="K483" s="24" t="n"/>
      <c r="L483" s="23" t="n"/>
      <c r="M483" s="23" t="n"/>
      <c r="N483" s="23" t="n"/>
      <c r="O483" s="24" t="n"/>
      <c r="P483" s="22">
        <f>IF(AND(D483=ExportPlatform,N483="Ready",A483&lt;&gt;""),COUNTIFS($D$7:D483,ExportPlatform,$N$7:N483,"Ready",$A$7:A483,"&lt;&gt;"),"")</f>
        <v/>
      </c>
    </row>
    <row r="484">
      <c r="A484" s="20" t="n"/>
      <c r="B484" s="21" t="n"/>
      <c r="C484" s="22">
        <f>IF(A484="","",CHOOSE(WEEKDAY(A484,2),"Mon","Tue","Wed","Thu","Fri","Sat","Sun"))</f>
        <v/>
      </c>
      <c r="D484" s="23" t="n"/>
      <c r="E484" s="23" t="n"/>
      <c r="F484" s="23" t="n"/>
      <c r="G484" s="24" t="n"/>
      <c r="H484" s="24" t="n"/>
      <c r="I484" s="22">
        <f>IF(H484="","",LEN(H484))</f>
        <v/>
      </c>
      <c r="J484" s="25">
        <f>IF(D484="","",IFERROR(INDEX(PlatformLimits,MATCH(D484,PlatformNames,0)),""))</f>
        <v/>
      </c>
      <c r="K484" s="24" t="n"/>
      <c r="L484" s="23" t="n"/>
      <c r="M484" s="23" t="n"/>
      <c r="N484" s="23" t="n"/>
      <c r="O484" s="24" t="n"/>
      <c r="P484" s="22">
        <f>IF(AND(D484=ExportPlatform,N484="Ready",A484&lt;&gt;""),COUNTIFS($D$7:D484,ExportPlatform,$N$7:N484,"Ready",$A$7:A484,"&lt;&gt;"),"")</f>
        <v/>
      </c>
    </row>
    <row r="485">
      <c r="A485" s="20" t="n"/>
      <c r="B485" s="21" t="n"/>
      <c r="C485" s="22">
        <f>IF(A485="","",CHOOSE(WEEKDAY(A485,2),"Mon","Tue","Wed","Thu","Fri","Sat","Sun"))</f>
        <v/>
      </c>
      <c r="D485" s="23" t="n"/>
      <c r="E485" s="23" t="n"/>
      <c r="F485" s="23" t="n"/>
      <c r="G485" s="24" t="n"/>
      <c r="H485" s="24" t="n"/>
      <c r="I485" s="22">
        <f>IF(H485="","",LEN(H485))</f>
        <v/>
      </c>
      <c r="J485" s="25">
        <f>IF(D485="","",IFERROR(INDEX(PlatformLimits,MATCH(D485,PlatformNames,0)),""))</f>
        <v/>
      </c>
      <c r="K485" s="24" t="n"/>
      <c r="L485" s="23" t="n"/>
      <c r="M485" s="23" t="n"/>
      <c r="N485" s="23" t="n"/>
      <c r="O485" s="24" t="n"/>
      <c r="P485" s="22">
        <f>IF(AND(D485=ExportPlatform,N485="Ready",A485&lt;&gt;""),COUNTIFS($D$7:D485,ExportPlatform,$N$7:N485,"Ready",$A$7:A485,"&lt;&gt;"),"")</f>
        <v/>
      </c>
    </row>
    <row r="486">
      <c r="A486" s="20" t="n"/>
      <c r="B486" s="21" t="n"/>
      <c r="C486" s="22">
        <f>IF(A486="","",CHOOSE(WEEKDAY(A486,2),"Mon","Tue","Wed","Thu","Fri","Sat","Sun"))</f>
        <v/>
      </c>
      <c r="D486" s="23" t="n"/>
      <c r="E486" s="23" t="n"/>
      <c r="F486" s="23" t="n"/>
      <c r="G486" s="24" t="n"/>
      <c r="H486" s="24" t="n"/>
      <c r="I486" s="22">
        <f>IF(H486="","",LEN(H486))</f>
        <v/>
      </c>
      <c r="J486" s="25">
        <f>IF(D486="","",IFERROR(INDEX(PlatformLimits,MATCH(D486,PlatformNames,0)),""))</f>
        <v/>
      </c>
      <c r="K486" s="24" t="n"/>
      <c r="L486" s="23" t="n"/>
      <c r="M486" s="23" t="n"/>
      <c r="N486" s="23" t="n"/>
      <c r="O486" s="24" t="n"/>
      <c r="P486" s="22">
        <f>IF(AND(D486=ExportPlatform,N486="Ready",A486&lt;&gt;""),COUNTIFS($D$7:D486,ExportPlatform,$N$7:N486,"Ready",$A$7:A486,"&lt;&gt;"),"")</f>
        <v/>
      </c>
    </row>
    <row r="487">
      <c r="A487" s="20" t="n"/>
      <c r="B487" s="21" t="n"/>
      <c r="C487" s="22">
        <f>IF(A487="","",CHOOSE(WEEKDAY(A487,2),"Mon","Tue","Wed","Thu","Fri","Sat","Sun"))</f>
        <v/>
      </c>
      <c r="D487" s="23" t="n"/>
      <c r="E487" s="23" t="n"/>
      <c r="F487" s="23" t="n"/>
      <c r="G487" s="24" t="n"/>
      <c r="H487" s="24" t="n"/>
      <c r="I487" s="22">
        <f>IF(H487="","",LEN(H487))</f>
        <v/>
      </c>
      <c r="J487" s="25">
        <f>IF(D487="","",IFERROR(INDEX(PlatformLimits,MATCH(D487,PlatformNames,0)),""))</f>
        <v/>
      </c>
      <c r="K487" s="24" t="n"/>
      <c r="L487" s="23" t="n"/>
      <c r="M487" s="23" t="n"/>
      <c r="N487" s="23" t="n"/>
      <c r="O487" s="24" t="n"/>
      <c r="P487" s="22">
        <f>IF(AND(D487=ExportPlatform,N487="Ready",A487&lt;&gt;""),COUNTIFS($D$7:D487,ExportPlatform,$N$7:N487,"Ready",$A$7:A487,"&lt;&gt;"),"")</f>
        <v/>
      </c>
    </row>
    <row r="488">
      <c r="A488" s="20" t="n"/>
      <c r="B488" s="21" t="n"/>
      <c r="C488" s="22">
        <f>IF(A488="","",CHOOSE(WEEKDAY(A488,2),"Mon","Tue","Wed","Thu","Fri","Sat","Sun"))</f>
        <v/>
      </c>
      <c r="D488" s="23" t="n"/>
      <c r="E488" s="23" t="n"/>
      <c r="F488" s="23" t="n"/>
      <c r="G488" s="24" t="n"/>
      <c r="H488" s="24" t="n"/>
      <c r="I488" s="22">
        <f>IF(H488="","",LEN(H488))</f>
        <v/>
      </c>
      <c r="J488" s="25">
        <f>IF(D488="","",IFERROR(INDEX(PlatformLimits,MATCH(D488,PlatformNames,0)),""))</f>
        <v/>
      </c>
      <c r="K488" s="24" t="n"/>
      <c r="L488" s="23" t="n"/>
      <c r="M488" s="23" t="n"/>
      <c r="N488" s="23" t="n"/>
      <c r="O488" s="24" t="n"/>
      <c r="P488" s="22">
        <f>IF(AND(D488=ExportPlatform,N488="Ready",A488&lt;&gt;""),COUNTIFS($D$7:D488,ExportPlatform,$N$7:N488,"Ready",$A$7:A488,"&lt;&gt;"),"")</f>
        <v/>
      </c>
    </row>
    <row r="489">
      <c r="A489" s="20" t="n"/>
      <c r="B489" s="21" t="n"/>
      <c r="C489" s="22">
        <f>IF(A489="","",CHOOSE(WEEKDAY(A489,2),"Mon","Tue","Wed","Thu","Fri","Sat","Sun"))</f>
        <v/>
      </c>
      <c r="D489" s="23" t="n"/>
      <c r="E489" s="23" t="n"/>
      <c r="F489" s="23" t="n"/>
      <c r="G489" s="24" t="n"/>
      <c r="H489" s="24" t="n"/>
      <c r="I489" s="22">
        <f>IF(H489="","",LEN(H489))</f>
        <v/>
      </c>
      <c r="J489" s="25">
        <f>IF(D489="","",IFERROR(INDEX(PlatformLimits,MATCH(D489,PlatformNames,0)),""))</f>
        <v/>
      </c>
      <c r="K489" s="24" t="n"/>
      <c r="L489" s="23" t="n"/>
      <c r="M489" s="23" t="n"/>
      <c r="N489" s="23" t="n"/>
      <c r="O489" s="24" t="n"/>
      <c r="P489" s="22">
        <f>IF(AND(D489=ExportPlatform,N489="Ready",A489&lt;&gt;""),COUNTIFS($D$7:D489,ExportPlatform,$N$7:N489,"Ready",$A$7:A489,"&lt;&gt;"),"")</f>
        <v/>
      </c>
    </row>
    <row r="490">
      <c r="A490" s="20" t="n"/>
      <c r="B490" s="21" t="n"/>
      <c r="C490" s="22">
        <f>IF(A490="","",CHOOSE(WEEKDAY(A490,2),"Mon","Tue","Wed","Thu","Fri","Sat","Sun"))</f>
        <v/>
      </c>
      <c r="D490" s="23" t="n"/>
      <c r="E490" s="23" t="n"/>
      <c r="F490" s="23" t="n"/>
      <c r="G490" s="24" t="n"/>
      <c r="H490" s="24" t="n"/>
      <c r="I490" s="22">
        <f>IF(H490="","",LEN(H490))</f>
        <v/>
      </c>
      <c r="J490" s="25">
        <f>IF(D490="","",IFERROR(INDEX(PlatformLimits,MATCH(D490,PlatformNames,0)),""))</f>
        <v/>
      </c>
      <c r="K490" s="24" t="n"/>
      <c r="L490" s="23" t="n"/>
      <c r="M490" s="23" t="n"/>
      <c r="N490" s="23" t="n"/>
      <c r="O490" s="24" t="n"/>
      <c r="P490" s="22">
        <f>IF(AND(D490=ExportPlatform,N490="Ready",A490&lt;&gt;""),COUNTIFS($D$7:D490,ExportPlatform,$N$7:N490,"Ready",$A$7:A490,"&lt;&gt;"),"")</f>
        <v/>
      </c>
    </row>
    <row r="491">
      <c r="A491" s="20" t="n"/>
      <c r="B491" s="21" t="n"/>
      <c r="C491" s="22">
        <f>IF(A491="","",CHOOSE(WEEKDAY(A491,2),"Mon","Tue","Wed","Thu","Fri","Sat","Sun"))</f>
        <v/>
      </c>
      <c r="D491" s="23" t="n"/>
      <c r="E491" s="23" t="n"/>
      <c r="F491" s="23" t="n"/>
      <c r="G491" s="24" t="n"/>
      <c r="H491" s="24" t="n"/>
      <c r="I491" s="22">
        <f>IF(H491="","",LEN(H491))</f>
        <v/>
      </c>
      <c r="J491" s="25">
        <f>IF(D491="","",IFERROR(INDEX(PlatformLimits,MATCH(D491,PlatformNames,0)),""))</f>
        <v/>
      </c>
      <c r="K491" s="24" t="n"/>
      <c r="L491" s="23" t="n"/>
      <c r="M491" s="23" t="n"/>
      <c r="N491" s="23" t="n"/>
      <c r="O491" s="24" t="n"/>
      <c r="P491" s="22">
        <f>IF(AND(D491=ExportPlatform,N491="Ready",A491&lt;&gt;""),COUNTIFS($D$7:D491,ExportPlatform,$N$7:N491,"Ready",$A$7:A491,"&lt;&gt;"),"")</f>
        <v/>
      </c>
    </row>
    <row r="492">
      <c r="A492" s="20" t="n"/>
      <c r="B492" s="21" t="n"/>
      <c r="C492" s="22">
        <f>IF(A492="","",CHOOSE(WEEKDAY(A492,2),"Mon","Tue","Wed","Thu","Fri","Sat","Sun"))</f>
        <v/>
      </c>
      <c r="D492" s="23" t="n"/>
      <c r="E492" s="23" t="n"/>
      <c r="F492" s="23" t="n"/>
      <c r="G492" s="24" t="n"/>
      <c r="H492" s="24" t="n"/>
      <c r="I492" s="22">
        <f>IF(H492="","",LEN(H492))</f>
        <v/>
      </c>
      <c r="J492" s="25">
        <f>IF(D492="","",IFERROR(INDEX(PlatformLimits,MATCH(D492,PlatformNames,0)),""))</f>
        <v/>
      </c>
      <c r="K492" s="24" t="n"/>
      <c r="L492" s="23" t="n"/>
      <c r="M492" s="23" t="n"/>
      <c r="N492" s="23" t="n"/>
      <c r="O492" s="24" t="n"/>
      <c r="P492" s="22">
        <f>IF(AND(D492=ExportPlatform,N492="Ready",A492&lt;&gt;""),COUNTIFS($D$7:D492,ExportPlatform,$N$7:N492,"Ready",$A$7:A492,"&lt;&gt;"),"")</f>
        <v/>
      </c>
    </row>
    <row r="493">
      <c r="A493" s="20" t="n"/>
      <c r="B493" s="21" t="n"/>
      <c r="C493" s="22">
        <f>IF(A493="","",CHOOSE(WEEKDAY(A493,2),"Mon","Tue","Wed","Thu","Fri","Sat","Sun"))</f>
        <v/>
      </c>
      <c r="D493" s="23" t="n"/>
      <c r="E493" s="23" t="n"/>
      <c r="F493" s="23" t="n"/>
      <c r="G493" s="24" t="n"/>
      <c r="H493" s="24" t="n"/>
      <c r="I493" s="22">
        <f>IF(H493="","",LEN(H493))</f>
        <v/>
      </c>
      <c r="J493" s="25">
        <f>IF(D493="","",IFERROR(INDEX(PlatformLimits,MATCH(D493,PlatformNames,0)),""))</f>
        <v/>
      </c>
      <c r="K493" s="24" t="n"/>
      <c r="L493" s="23" t="n"/>
      <c r="M493" s="23" t="n"/>
      <c r="N493" s="23" t="n"/>
      <c r="O493" s="24" t="n"/>
      <c r="P493" s="22">
        <f>IF(AND(D493=ExportPlatform,N493="Ready",A493&lt;&gt;""),COUNTIFS($D$7:D493,ExportPlatform,$N$7:N493,"Ready",$A$7:A493,"&lt;&gt;"),"")</f>
        <v/>
      </c>
    </row>
    <row r="494">
      <c r="A494" s="20" t="n"/>
      <c r="B494" s="21" t="n"/>
      <c r="C494" s="22">
        <f>IF(A494="","",CHOOSE(WEEKDAY(A494,2),"Mon","Tue","Wed","Thu","Fri","Sat","Sun"))</f>
        <v/>
      </c>
      <c r="D494" s="23" t="n"/>
      <c r="E494" s="23" t="n"/>
      <c r="F494" s="23" t="n"/>
      <c r="G494" s="24" t="n"/>
      <c r="H494" s="24" t="n"/>
      <c r="I494" s="22">
        <f>IF(H494="","",LEN(H494))</f>
        <v/>
      </c>
      <c r="J494" s="25">
        <f>IF(D494="","",IFERROR(INDEX(PlatformLimits,MATCH(D494,PlatformNames,0)),""))</f>
        <v/>
      </c>
      <c r="K494" s="24" t="n"/>
      <c r="L494" s="23" t="n"/>
      <c r="M494" s="23" t="n"/>
      <c r="N494" s="23" t="n"/>
      <c r="O494" s="24" t="n"/>
      <c r="P494" s="22">
        <f>IF(AND(D494=ExportPlatform,N494="Ready",A494&lt;&gt;""),COUNTIFS($D$7:D494,ExportPlatform,$N$7:N494,"Ready",$A$7:A494,"&lt;&gt;"),"")</f>
        <v/>
      </c>
    </row>
    <row r="495">
      <c r="A495" s="20" t="n"/>
      <c r="B495" s="21" t="n"/>
      <c r="C495" s="22">
        <f>IF(A495="","",CHOOSE(WEEKDAY(A495,2),"Mon","Tue","Wed","Thu","Fri","Sat","Sun"))</f>
        <v/>
      </c>
      <c r="D495" s="23" t="n"/>
      <c r="E495" s="23" t="n"/>
      <c r="F495" s="23" t="n"/>
      <c r="G495" s="24" t="n"/>
      <c r="H495" s="24" t="n"/>
      <c r="I495" s="22">
        <f>IF(H495="","",LEN(H495))</f>
        <v/>
      </c>
      <c r="J495" s="25">
        <f>IF(D495="","",IFERROR(INDEX(PlatformLimits,MATCH(D495,PlatformNames,0)),""))</f>
        <v/>
      </c>
      <c r="K495" s="24" t="n"/>
      <c r="L495" s="23" t="n"/>
      <c r="M495" s="23" t="n"/>
      <c r="N495" s="23" t="n"/>
      <c r="O495" s="24" t="n"/>
      <c r="P495" s="22">
        <f>IF(AND(D495=ExportPlatform,N495="Ready",A495&lt;&gt;""),COUNTIFS($D$7:D495,ExportPlatform,$N$7:N495,"Ready",$A$7:A495,"&lt;&gt;"),"")</f>
        <v/>
      </c>
    </row>
    <row r="496">
      <c r="A496" s="20" t="n"/>
      <c r="B496" s="21" t="n"/>
      <c r="C496" s="22">
        <f>IF(A496="","",CHOOSE(WEEKDAY(A496,2),"Mon","Tue","Wed","Thu","Fri","Sat","Sun"))</f>
        <v/>
      </c>
      <c r="D496" s="23" t="n"/>
      <c r="E496" s="23" t="n"/>
      <c r="F496" s="23" t="n"/>
      <c r="G496" s="24" t="n"/>
      <c r="H496" s="24" t="n"/>
      <c r="I496" s="22">
        <f>IF(H496="","",LEN(H496))</f>
        <v/>
      </c>
      <c r="J496" s="25">
        <f>IF(D496="","",IFERROR(INDEX(PlatformLimits,MATCH(D496,PlatformNames,0)),""))</f>
        <v/>
      </c>
      <c r="K496" s="24" t="n"/>
      <c r="L496" s="23" t="n"/>
      <c r="M496" s="23" t="n"/>
      <c r="N496" s="23" t="n"/>
      <c r="O496" s="24" t="n"/>
      <c r="P496" s="22">
        <f>IF(AND(D496=ExportPlatform,N496="Ready",A496&lt;&gt;""),COUNTIFS($D$7:D496,ExportPlatform,$N$7:N496,"Ready",$A$7:A496,"&lt;&gt;"),"")</f>
        <v/>
      </c>
    </row>
    <row r="497">
      <c r="A497" s="20" t="n"/>
      <c r="B497" s="21" t="n"/>
      <c r="C497" s="22">
        <f>IF(A497="","",CHOOSE(WEEKDAY(A497,2),"Mon","Tue","Wed","Thu","Fri","Sat","Sun"))</f>
        <v/>
      </c>
      <c r="D497" s="23" t="n"/>
      <c r="E497" s="23" t="n"/>
      <c r="F497" s="23" t="n"/>
      <c r="G497" s="24" t="n"/>
      <c r="H497" s="24" t="n"/>
      <c r="I497" s="22">
        <f>IF(H497="","",LEN(H497))</f>
        <v/>
      </c>
      <c r="J497" s="25">
        <f>IF(D497="","",IFERROR(INDEX(PlatformLimits,MATCH(D497,PlatformNames,0)),""))</f>
        <v/>
      </c>
      <c r="K497" s="24" t="n"/>
      <c r="L497" s="23" t="n"/>
      <c r="M497" s="23" t="n"/>
      <c r="N497" s="23" t="n"/>
      <c r="O497" s="24" t="n"/>
      <c r="P497" s="22">
        <f>IF(AND(D497=ExportPlatform,N497="Ready",A497&lt;&gt;""),COUNTIFS($D$7:D497,ExportPlatform,$N$7:N497,"Ready",$A$7:A497,"&lt;&gt;"),"")</f>
        <v/>
      </c>
    </row>
    <row r="498">
      <c r="A498" s="20" t="n"/>
      <c r="B498" s="21" t="n"/>
      <c r="C498" s="22">
        <f>IF(A498="","",CHOOSE(WEEKDAY(A498,2),"Mon","Tue","Wed","Thu","Fri","Sat","Sun"))</f>
        <v/>
      </c>
      <c r="D498" s="23" t="n"/>
      <c r="E498" s="23" t="n"/>
      <c r="F498" s="23" t="n"/>
      <c r="G498" s="24" t="n"/>
      <c r="H498" s="24" t="n"/>
      <c r="I498" s="22">
        <f>IF(H498="","",LEN(H498))</f>
        <v/>
      </c>
      <c r="J498" s="25">
        <f>IF(D498="","",IFERROR(INDEX(PlatformLimits,MATCH(D498,PlatformNames,0)),""))</f>
        <v/>
      </c>
      <c r="K498" s="24" t="n"/>
      <c r="L498" s="23" t="n"/>
      <c r="M498" s="23" t="n"/>
      <c r="N498" s="23" t="n"/>
      <c r="O498" s="24" t="n"/>
      <c r="P498" s="22">
        <f>IF(AND(D498=ExportPlatform,N498="Ready",A498&lt;&gt;""),COUNTIFS($D$7:D498,ExportPlatform,$N$7:N498,"Ready",$A$7:A498,"&lt;&gt;"),"")</f>
        <v/>
      </c>
    </row>
    <row r="499">
      <c r="A499" s="20" t="n"/>
      <c r="B499" s="21" t="n"/>
      <c r="C499" s="22">
        <f>IF(A499="","",CHOOSE(WEEKDAY(A499,2),"Mon","Tue","Wed","Thu","Fri","Sat","Sun"))</f>
        <v/>
      </c>
      <c r="D499" s="23" t="n"/>
      <c r="E499" s="23" t="n"/>
      <c r="F499" s="23" t="n"/>
      <c r="G499" s="24" t="n"/>
      <c r="H499" s="24" t="n"/>
      <c r="I499" s="22">
        <f>IF(H499="","",LEN(H499))</f>
        <v/>
      </c>
      <c r="J499" s="25">
        <f>IF(D499="","",IFERROR(INDEX(PlatformLimits,MATCH(D499,PlatformNames,0)),""))</f>
        <v/>
      </c>
      <c r="K499" s="24" t="n"/>
      <c r="L499" s="23" t="n"/>
      <c r="M499" s="23" t="n"/>
      <c r="N499" s="23" t="n"/>
      <c r="O499" s="24" t="n"/>
      <c r="P499" s="22">
        <f>IF(AND(D499=ExportPlatform,N499="Ready",A499&lt;&gt;""),COUNTIFS($D$7:D499,ExportPlatform,$N$7:N499,"Ready",$A$7:A499,"&lt;&gt;"),"")</f>
        <v/>
      </c>
    </row>
    <row r="500">
      <c r="A500" s="20" t="n"/>
      <c r="B500" s="21" t="n"/>
      <c r="C500" s="22">
        <f>IF(A500="","",CHOOSE(WEEKDAY(A500,2),"Mon","Tue","Wed","Thu","Fri","Sat","Sun"))</f>
        <v/>
      </c>
      <c r="D500" s="23" t="n"/>
      <c r="E500" s="23" t="n"/>
      <c r="F500" s="23" t="n"/>
      <c r="G500" s="24" t="n"/>
      <c r="H500" s="24" t="n"/>
      <c r="I500" s="22">
        <f>IF(H500="","",LEN(H500))</f>
        <v/>
      </c>
      <c r="J500" s="25">
        <f>IF(D500="","",IFERROR(INDEX(PlatformLimits,MATCH(D500,PlatformNames,0)),""))</f>
        <v/>
      </c>
      <c r="K500" s="24" t="n"/>
      <c r="L500" s="23" t="n"/>
      <c r="M500" s="23" t="n"/>
      <c r="N500" s="23" t="n"/>
      <c r="O500" s="24" t="n"/>
      <c r="P500" s="22">
        <f>IF(AND(D500=ExportPlatform,N500="Ready",A500&lt;&gt;""),COUNTIFS($D$7:D500,ExportPlatform,$N$7:N500,"Ready",$A$7:A500,"&lt;&gt;"),"")</f>
        <v/>
      </c>
    </row>
    <row r="501">
      <c r="A501" s="20" t="n"/>
      <c r="B501" s="21" t="n"/>
      <c r="C501" s="22">
        <f>IF(A501="","",CHOOSE(WEEKDAY(A501,2),"Mon","Tue","Wed","Thu","Fri","Sat","Sun"))</f>
        <v/>
      </c>
      <c r="D501" s="23" t="n"/>
      <c r="E501" s="23" t="n"/>
      <c r="F501" s="23" t="n"/>
      <c r="G501" s="24" t="n"/>
      <c r="H501" s="24" t="n"/>
      <c r="I501" s="22">
        <f>IF(H501="","",LEN(H501))</f>
        <v/>
      </c>
      <c r="J501" s="25">
        <f>IF(D501="","",IFERROR(INDEX(PlatformLimits,MATCH(D501,PlatformNames,0)),""))</f>
        <v/>
      </c>
      <c r="K501" s="24" t="n"/>
      <c r="L501" s="23" t="n"/>
      <c r="M501" s="23" t="n"/>
      <c r="N501" s="23" t="n"/>
      <c r="O501" s="24" t="n"/>
      <c r="P501" s="22">
        <f>IF(AND(D501=ExportPlatform,N501="Ready",A501&lt;&gt;""),COUNTIFS($D$7:D501,ExportPlatform,$N$7:N501,"Ready",$A$7:A501,"&lt;&gt;"),"")</f>
        <v/>
      </c>
    </row>
    <row r="502">
      <c r="A502" s="20" t="n"/>
      <c r="B502" s="21" t="n"/>
      <c r="C502" s="22">
        <f>IF(A502="","",CHOOSE(WEEKDAY(A502,2),"Mon","Tue","Wed","Thu","Fri","Sat","Sun"))</f>
        <v/>
      </c>
      <c r="D502" s="23" t="n"/>
      <c r="E502" s="23" t="n"/>
      <c r="F502" s="23" t="n"/>
      <c r="G502" s="24" t="n"/>
      <c r="H502" s="24" t="n"/>
      <c r="I502" s="22">
        <f>IF(H502="","",LEN(H502))</f>
        <v/>
      </c>
      <c r="J502" s="25">
        <f>IF(D502="","",IFERROR(INDEX(PlatformLimits,MATCH(D502,PlatformNames,0)),""))</f>
        <v/>
      </c>
      <c r="K502" s="24" t="n"/>
      <c r="L502" s="23" t="n"/>
      <c r="M502" s="23" t="n"/>
      <c r="N502" s="23" t="n"/>
      <c r="O502" s="24" t="n"/>
      <c r="P502" s="22">
        <f>IF(AND(D502=ExportPlatform,N502="Ready",A502&lt;&gt;""),COUNTIFS($D$7:D502,ExportPlatform,$N$7:N502,"Ready",$A$7:A502,"&lt;&gt;"),"")</f>
        <v/>
      </c>
    </row>
    <row r="503">
      <c r="A503" s="20" t="n"/>
      <c r="B503" s="21" t="n"/>
      <c r="C503" s="22">
        <f>IF(A503="","",CHOOSE(WEEKDAY(A503,2),"Mon","Tue","Wed","Thu","Fri","Sat","Sun"))</f>
        <v/>
      </c>
      <c r="D503" s="23" t="n"/>
      <c r="E503" s="23" t="n"/>
      <c r="F503" s="23" t="n"/>
      <c r="G503" s="24" t="n"/>
      <c r="H503" s="24" t="n"/>
      <c r="I503" s="22">
        <f>IF(H503="","",LEN(H503))</f>
        <v/>
      </c>
      <c r="J503" s="25">
        <f>IF(D503="","",IFERROR(INDEX(PlatformLimits,MATCH(D503,PlatformNames,0)),""))</f>
        <v/>
      </c>
      <c r="K503" s="24" t="n"/>
      <c r="L503" s="23" t="n"/>
      <c r="M503" s="23" t="n"/>
      <c r="N503" s="23" t="n"/>
      <c r="O503" s="24" t="n"/>
      <c r="P503" s="22">
        <f>IF(AND(D503=ExportPlatform,N503="Ready",A503&lt;&gt;""),COUNTIFS($D$7:D503,ExportPlatform,$N$7:N503,"Ready",$A$7:A503,"&lt;&gt;"),"")</f>
        <v/>
      </c>
    </row>
    <row r="504">
      <c r="A504" s="20" t="n"/>
      <c r="B504" s="21" t="n"/>
      <c r="C504" s="22">
        <f>IF(A504="","",CHOOSE(WEEKDAY(A504,2),"Mon","Tue","Wed","Thu","Fri","Sat","Sun"))</f>
        <v/>
      </c>
      <c r="D504" s="23" t="n"/>
      <c r="E504" s="23" t="n"/>
      <c r="F504" s="23" t="n"/>
      <c r="G504" s="24" t="n"/>
      <c r="H504" s="24" t="n"/>
      <c r="I504" s="22">
        <f>IF(H504="","",LEN(H504))</f>
        <v/>
      </c>
      <c r="J504" s="25">
        <f>IF(D504="","",IFERROR(INDEX(PlatformLimits,MATCH(D504,PlatformNames,0)),""))</f>
        <v/>
      </c>
      <c r="K504" s="24" t="n"/>
      <c r="L504" s="23" t="n"/>
      <c r="M504" s="23" t="n"/>
      <c r="N504" s="23" t="n"/>
      <c r="O504" s="24" t="n"/>
      <c r="P504" s="22">
        <f>IF(AND(D504=ExportPlatform,N504="Ready",A504&lt;&gt;""),COUNTIFS($D$7:D504,ExportPlatform,$N$7:N504,"Ready",$A$7:A504,"&lt;&gt;"),"")</f>
        <v/>
      </c>
    </row>
    <row r="505">
      <c r="A505" s="20" t="n"/>
      <c r="B505" s="21" t="n"/>
      <c r="C505" s="22">
        <f>IF(A505="","",CHOOSE(WEEKDAY(A505,2),"Mon","Tue","Wed","Thu","Fri","Sat","Sun"))</f>
        <v/>
      </c>
      <c r="D505" s="23" t="n"/>
      <c r="E505" s="23" t="n"/>
      <c r="F505" s="23" t="n"/>
      <c r="G505" s="24" t="n"/>
      <c r="H505" s="24" t="n"/>
      <c r="I505" s="22">
        <f>IF(H505="","",LEN(H505))</f>
        <v/>
      </c>
      <c r="J505" s="25">
        <f>IF(D505="","",IFERROR(INDEX(PlatformLimits,MATCH(D505,PlatformNames,0)),""))</f>
        <v/>
      </c>
      <c r="K505" s="24" t="n"/>
      <c r="L505" s="23" t="n"/>
      <c r="M505" s="23" t="n"/>
      <c r="N505" s="23" t="n"/>
      <c r="O505" s="24" t="n"/>
      <c r="P505" s="22">
        <f>IF(AND(D505=ExportPlatform,N505="Ready",A505&lt;&gt;""),COUNTIFS($D$7:D505,ExportPlatform,$N$7:N505,"Ready",$A$7:A505,"&lt;&gt;"),"")</f>
        <v/>
      </c>
    </row>
    <row r="506">
      <c r="A506" s="20" t="n"/>
      <c r="B506" s="21" t="n"/>
      <c r="C506" s="22">
        <f>IF(A506="","",CHOOSE(WEEKDAY(A506,2),"Mon","Tue","Wed","Thu","Fri","Sat","Sun"))</f>
        <v/>
      </c>
      <c r="D506" s="23" t="n"/>
      <c r="E506" s="23" t="n"/>
      <c r="F506" s="23" t="n"/>
      <c r="G506" s="24" t="n"/>
      <c r="H506" s="24" t="n"/>
      <c r="I506" s="22">
        <f>IF(H506="","",LEN(H506))</f>
        <v/>
      </c>
      <c r="J506" s="25">
        <f>IF(D506="","",IFERROR(INDEX(PlatformLimits,MATCH(D506,PlatformNames,0)),""))</f>
        <v/>
      </c>
      <c r="K506" s="24" t="n"/>
      <c r="L506" s="23" t="n"/>
      <c r="M506" s="23" t="n"/>
      <c r="N506" s="23" t="n"/>
      <c r="O506" s="24" t="n"/>
      <c r="P506" s="22">
        <f>IF(AND(D506=ExportPlatform,N506="Ready",A506&lt;&gt;""),COUNTIFS($D$7:D506,ExportPlatform,$N$7:N506,"Ready",$A$7:A506,"&lt;&gt;"),"")</f>
        <v/>
      </c>
    </row>
  </sheetData>
  <autoFilter ref="A6:P506"/>
  <conditionalFormatting sqref="N7:N506">
    <cfRule type="expression" priority="1" dxfId="0">
      <formula>$N7="Idea"</formula>
    </cfRule>
    <cfRule type="expression" priority="2" dxfId="1">
      <formula>$N7="Drafting"</formula>
    </cfRule>
    <cfRule type="expression" priority="3" dxfId="2">
      <formula>$N7="Ready"</formula>
    </cfRule>
    <cfRule type="expression" priority="4" dxfId="3">
      <formula>$N7="Scheduled"</formula>
    </cfRule>
    <cfRule type="expression" priority="5" dxfId="4">
      <formula>$N7="Published"</formula>
    </cfRule>
  </conditionalFormatting>
  <conditionalFormatting sqref="I7:I506">
    <cfRule type="expression" priority="6" dxfId="5">
      <formula>AND(ISNUMBER(I7),ISNUMBER(J7),I7&gt;J7)</formula>
    </cfRule>
  </conditionalFormatting>
  <conditionalFormatting sqref="B7:B506">
    <cfRule type="expression" priority="7" dxfId="6">
      <formula>AND($N7="Ready",$B7="")</formula>
    </cfRule>
  </conditionalFormatting>
  <dataValidations count="6">
    <dataValidation sqref="D7:D506" showDropDown="0" showInputMessage="0" showErrorMessage="0" allowBlank="1" type="list">
      <formula1>PlatformNames</formula1>
    </dataValidation>
    <dataValidation sqref="E7:E506" showDropDown="0" showInputMessage="0" showErrorMessage="0" allowBlank="1" type="list">
      <formula1>"Image,Carousel,Video / Reel,Story,Text,Link,Live"</formula1>
    </dataValidation>
    <dataValidation sqref="F7:F506" showDropDown="0" showInputMessage="1" showErrorMessage="0" allowBlank="1" promptTitle="Pick one" prompt="Edit pillars on the Content mix tab." type="list">
      <formula1>PillarNames</formula1>
    </dataValidation>
    <dataValidation sqref="N7:N506" showDropDown="0" showInputMessage="1" showErrorMessage="0" allowBlank="1" promptTitle="Pick one" prompt="Set to Ready when the post can go to Hopper HQ." type="list">
      <formula1>"Idea,Drafting,Ready,Scheduled,Published"</formula1>
    </dataValidation>
    <dataValidation sqref="A7:A506" showDropDown="0" showInputMessage="0" showErrorMessage="0" allowBlank="1" errorTitle="Date" error="Enter a date, for example 2026-11-02." type="date" operator="greaterThan">
      <formula1>36526</formula1>
    </dataValidation>
    <dataValidation sqref="B7:B506" showDropDown="0" showInputMessage="0" showErrorMessage="0" allowBlank="1" errorTitle="Time" error="Enter a time, for example 09:30." type="time" operator="between">
      <formula1>0</formula1>
      <formula2>0.999988</formula2>
    </dataValidation>
  </dataValidations>
  <hyperlinks>
    <hyperlink xmlns:r="http://schemas.openxmlformats.org/officeDocument/2006/relationships" ref="P1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C7D7F9"/>
    <outlinePr summaryBelow="1" summaryRight="1"/>
    <pageSetUpPr fitToPage="1"/>
  </sheetPr>
  <dimension ref="A1:H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42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>hopperhq.com</t>
        </is>
      </c>
    </row>
    <row r="2" ht="5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6" customHeight="1">
      <c r="A3" s="17" t="inlineStr">
        <is>
          <t>Month view</t>
        </is>
      </c>
    </row>
    <row r="4">
      <c r="A4" s="16" t="inlineStr">
        <is>
          <t>Pick a month and year. Each day shows how many posts are planned; highlighted days have none.</t>
        </is>
      </c>
    </row>
    <row r="5">
      <c r="A5" s="26" t="inlineStr">
        <is>
          <t>Month</t>
        </is>
      </c>
      <c r="B5" s="27" t="inlineStr">
        <is>
          <t>November</t>
        </is>
      </c>
      <c r="C5" s="26" t="inlineStr">
        <is>
          <t>Year</t>
        </is>
      </c>
      <c r="D5" s="27" t="n">
        <v>2026</v>
      </c>
      <c r="F5" s="28">
        <f>IFERROR(DATE($D$5,MATCH($B$5,{"January","February","March","April","May","June","July","August","September","October","November","December"},0),1),"")</f>
        <v/>
      </c>
      <c r="G5" s="29" t="inlineStr">
        <is>
          <t>Posts this month</t>
        </is>
      </c>
      <c r="H5" s="30">
        <f>IF(F5="","",COUNTIFS(Calendar_Date,"&gt;="&amp;F5,Calendar_Date,"&lt;"&amp;DATE(YEAR(F5),MONTH(F5)+1,1)))</f>
        <v/>
      </c>
    </row>
    <row r="7">
      <c r="A7" s="31" t="inlineStr">
        <is>
          <t>Mon</t>
        </is>
      </c>
      <c r="B7" s="31" t="inlineStr">
        <is>
          <t>Tue</t>
        </is>
      </c>
      <c r="C7" s="31" t="inlineStr">
        <is>
          <t>Wed</t>
        </is>
      </c>
      <c r="D7" s="31" t="inlineStr">
        <is>
          <t>Thu</t>
        </is>
      </c>
      <c r="E7" s="31" t="inlineStr">
        <is>
          <t>Fri</t>
        </is>
      </c>
      <c r="F7" s="31" t="inlineStr">
        <is>
          <t>Sat</t>
        </is>
      </c>
      <c r="G7" s="31" t="inlineStr">
        <is>
          <t>Sun</t>
        </is>
      </c>
    </row>
    <row r="8" ht="16" customHeight="1">
      <c r="A8" s="32">
        <f>IF($F$5="","",$F$5-WEEKDAY($F$5,2)+1+0)</f>
        <v/>
      </c>
      <c r="B8" s="32">
        <f>IF($F$5="","",$F$5-WEEKDAY($F$5,2)+1+1)</f>
        <v/>
      </c>
      <c r="C8" s="32">
        <f>IF($F$5="","",$F$5-WEEKDAY($F$5,2)+1+2)</f>
        <v/>
      </c>
      <c r="D8" s="32">
        <f>IF($F$5="","",$F$5-WEEKDAY($F$5,2)+1+3)</f>
        <v/>
      </c>
      <c r="E8" s="32">
        <f>IF($F$5="","",$F$5-WEEKDAY($F$5,2)+1+4)</f>
        <v/>
      </c>
      <c r="F8" s="32">
        <f>IF($F$5="","",$F$5-WEEKDAY($F$5,2)+1+5)</f>
        <v/>
      </c>
      <c r="G8" s="32">
        <f>IF($F$5="","",$F$5-WEEKDAY($F$5,2)+1+6)</f>
        <v/>
      </c>
    </row>
    <row r="9" ht="30" customHeight="1">
      <c r="A9" s="33">
        <f>IF(A8="","",IF(MONTH(A8)&lt;&gt;MONTH($F$5),"",COUNTIF(Calendar_Date,A8)&amp;IF(COUNTIF(Calendar_Date,A8)=1," post"," posts")))</f>
        <v/>
      </c>
      <c r="B9" s="33">
        <f>IF(B8="","",IF(MONTH(B8)&lt;&gt;MONTH($F$5),"",COUNTIF(Calendar_Date,B8)&amp;IF(COUNTIF(Calendar_Date,B8)=1," post"," posts")))</f>
        <v/>
      </c>
      <c r="C9" s="33">
        <f>IF(C8="","",IF(MONTH(C8)&lt;&gt;MONTH($F$5),"",COUNTIF(Calendar_Date,C8)&amp;IF(COUNTIF(Calendar_Date,C8)=1," post"," posts")))</f>
        <v/>
      </c>
      <c r="D9" s="33">
        <f>IF(D8="","",IF(MONTH(D8)&lt;&gt;MONTH($F$5),"",COUNTIF(Calendar_Date,D8)&amp;IF(COUNTIF(Calendar_Date,D8)=1," post"," posts")))</f>
        <v/>
      </c>
      <c r="E9" s="33">
        <f>IF(E8="","",IF(MONTH(E8)&lt;&gt;MONTH($F$5),"",COUNTIF(Calendar_Date,E8)&amp;IF(COUNTIF(Calendar_Date,E8)=1," post"," posts")))</f>
        <v/>
      </c>
      <c r="F9" s="33">
        <f>IF(F8="","",IF(MONTH(F8)&lt;&gt;MONTH($F$5),"",COUNTIF(Calendar_Date,F8)&amp;IF(COUNTIF(Calendar_Date,F8)=1," post"," posts")))</f>
        <v/>
      </c>
      <c r="G9" s="33">
        <f>IF(G8="","",IF(MONTH(G8)&lt;&gt;MONTH($F$5),"",COUNTIF(Calendar_Date,G8)&amp;IF(COUNTIF(Calendar_Date,G8)=1," post"," posts")))</f>
        <v/>
      </c>
    </row>
    <row r="10" ht="16" customHeight="1">
      <c r="A10" s="32">
        <f>IF($F$5="","",$F$5-WEEKDAY($F$5,2)+1+7)</f>
        <v/>
      </c>
      <c r="B10" s="32">
        <f>IF($F$5="","",$F$5-WEEKDAY($F$5,2)+1+8)</f>
        <v/>
      </c>
      <c r="C10" s="32">
        <f>IF($F$5="","",$F$5-WEEKDAY($F$5,2)+1+9)</f>
        <v/>
      </c>
      <c r="D10" s="32">
        <f>IF($F$5="","",$F$5-WEEKDAY($F$5,2)+1+10)</f>
        <v/>
      </c>
      <c r="E10" s="32">
        <f>IF($F$5="","",$F$5-WEEKDAY($F$5,2)+1+11)</f>
        <v/>
      </c>
      <c r="F10" s="32">
        <f>IF($F$5="","",$F$5-WEEKDAY($F$5,2)+1+12)</f>
        <v/>
      </c>
      <c r="G10" s="32">
        <f>IF($F$5="","",$F$5-WEEKDAY($F$5,2)+1+13)</f>
        <v/>
      </c>
    </row>
    <row r="11" ht="30" customHeight="1">
      <c r="A11" s="33">
        <f>IF(A10="","",IF(MONTH(A10)&lt;&gt;MONTH($F$5),"",COUNTIF(Calendar_Date,A10)&amp;IF(COUNTIF(Calendar_Date,A10)=1," post"," posts")))</f>
        <v/>
      </c>
      <c r="B11" s="33">
        <f>IF(B10="","",IF(MONTH(B10)&lt;&gt;MONTH($F$5),"",COUNTIF(Calendar_Date,B10)&amp;IF(COUNTIF(Calendar_Date,B10)=1," post"," posts")))</f>
        <v/>
      </c>
      <c r="C11" s="33">
        <f>IF(C10="","",IF(MONTH(C10)&lt;&gt;MONTH($F$5),"",COUNTIF(Calendar_Date,C10)&amp;IF(COUNTIF(Calendar_Date,C10)=1," post"," posts")))</f>
        <v/>
      </c>
      <c r="D11" s="33">
        <f>IF(D10="","",IF(MONTH(D10)&lt;&gt;MONTH($F$5),"",COUNTIF(Calendar_Date,D10)&amp;IF(COUNTIF(Calendar_Date,D10)=1," post"," posts")))</f>
        <v/>
      </c>
      <c r="E11" s="33">
        <f>IF(E10="","",IF(MONTH(E10)&lt;&gt;MONTH($F$5),"",COUNTIF(Calendar_Date,E10)&amp;IF(COUNTIF(Calendar_Date,E10)=1," post"," posts")))</f>
        <v/>
      </c>
      <c r="F11" s="33">
        <f>IF(F10="","",IF(MONTH(F10)&lt;&gt;MONTH($F$5),"",COUNTIF(Calendar_Date,F10)&amp;IF(COUNTIF(Calendar_Date,F10)=1," post"," posts")))</f>
        <v/>
      </c>
      <c r="G11" s="33">
        <f>IF(G10="","",IF(MONTH(G10)&lt;&gt;MONTH($F$5),"",COUNTIF(Calendar_Date,G10)&amp;IF(COUNTIF(Calendar_Date,G10)=1," post"," posts")))</f>
        <v/>
      </c>
    </row>
    <row r="12" ht="16" customHeight="1">
      <c r="A12" s="32">
        <f>IF($F$5="","",$F$5-WEEKDAY($F$5,2)+1+14)</f>
        <v/>
      </c>
      <c r="B12" s="32">
        <f>IF($F$5="","",$F$5-WEEKDAY($F$5,2)+1+15)</f>
        <v/>
      </c>
      <c r="C12" s="32">
        <f>IF($F$5="","",$F$5-WEEKDAY($F$5,2)+1+16)</f>
        <v/>
      </c>
      <c r="D12" s="32">
        <f>IF($F$5="","",$F$5-WEEKDAY($F$5,2)+1+17)</f>
        <v/>
      </c>
      <c r="E12" s="32">
        <f>IF($F$5="","",$F$5-WEEKDAY($F$5,2)+1+18)</f>
        <v/>
      </c>
      <c r="F12" s="32">
        <f>IF($F$5="","",$F$5-WEEKDAY($F$5,2)+1+19)</f>
        <v/>
      </c>
      <c r="G12" s="32">
        <f>IF($F$5="","",$F$5-WEEKDAY($F$5,2)+1+20)</f>
        <v/>
      </c>
    </row>
    <row r="13" ht="30" customHeight="1">
      <c r="A13" s="33">
        <f>IF(A12="","",IF(MONTH(A12)&lt;&gt;MONTH($F$5),"",COUNTIF(Calendar_Date,A12)&amp;IF(COUNTIF(Calendar_Date,A12)=1," post"," posts")))</f>
        <v/>
      </c>
      <c r="B13" s="33">
        <f>IF(B12="","",IF(MONTH(B12)&lt;&gt;MONTH($F$5),"",COUNTIF(Calendar_Date,B12)&amp;IF(COUNTIF(Calendar_Date,B12)=1," post"," posts")))</f>
        <v/>
      </c>
      <c r="C13" s="33">
        <f>IF(C12="","",IF(MONTH(C12)&lt;&gt;MONTH($F$5),"",COUNTIF(Calendar_Date,C12)&amp;IF(COUNTIF(Calendar_Date,C12)=1," post"," posts")))</f>
        <v/>
      </c>
      <c r="D13" s="33">
        <f>IF(D12="","",IF(MONTH(D12)&lt;&gt;MONTH($F$5),"",COUNTIF(Calendar_Date,D12)&amp;IF(COUNTIF(Calendar_Date,D12)=1," post"," posts")))</f>
        <v/>
      </c>
      <c r="E13" s="33">
        <f>IF(E12="","",IF(MONTH(E12)&lt;&gt;MONTH($F$5),"",COUNTIF(Calendar_Date,E12)&amp;IF(COUNTIF(Calendar_Date,E12)=1," post"," posts")))</f>
        <v/>
      </c>
      <c r="F13" s="33">
        <f>IF(F12="","",IF(MONTH(F12)&lt;&gt;MONTH($F$5),"",COUNTIF(Calendar_Date,F12)&amp;IF(COUNTIF(Calendar_Date,F12)=1," post"," posts")))</f>
        <v/>
      </c>
      <c r="G13" s="33">
        <f>IF(G12="","",IF(MONTH(G12)&lt;&gt;MONTH($F$5),"",COUNTIF(Calendar_Date,G12)&amp;IF(COUNTIF(Calendar_Date,G12)=1," post"," posts")))</f>
        <v/>
      </c>
    </row>
    <row r="14" ht="16" customHeight="1">
      <c r="A14" s="32">
        <f>IF($F$5="","",$F$5-WEEKDAY($F$5,2)+1+21)</f>
        <v/>
      </c>
      <c r="B14" s="32">
        <f>IF($F$5="","",$F$5-WEEKDAY($F$5,2)+1+22)</f>
        <v/>
      </c>
      <c r="C14" s="32">
        <f>IF($F$5="","",$F$5-WEEKDAY($F$5,2)+1+23)</f>
        <v/>
      </c>
      <c r="D14" s="32">
        <f>IF($F$5="","",$F$5-WEEKDAY($F$5,2)+1+24)</f>
        <v/>
      </c>
      <c r="E14" s="32">
        <f>IF($F$5="","",$F$5-WEEKDAY($F$5,2)+1+25)</f>
        <v/>
      </c>
      <c r="F14" s="32">
        <f>IF($F$5="","",$F$5-WEEKDAY($F$5,2)+1+26)</f>
        <v/>
      </c>
      <c r="G14" s="32">
        <f>IF($F$5="","",$F$5-WEEKDAY($F$5,2)+1+27)</f>
        <v/>
      </c>
    </row>
    <row r="15" ht="30" customHeight="1">
      <c r="A15" s="33">
        <f>IF(A14="","",IF(MONTH(A14)&lt;&gt;MONTH($F$5),"",COUNTIF(Calendar_Date,A14)&amp;IF(COUNTIF(Calendar_Date,A14)=1," post"," posts")))</f>
        <v/>
      </c>
      <c r="B15" s="33">
        <f>IF(B14="","",IF(MONTH(B14)&lt;&gt;MONTH($F$5),"",COUNTIF(Calendar_Date,B14)&amp;IF(COUNTIF(Calendar_Date,B14)=1," post"," posts")))</f>
        <v/>
      </c>
      <c r="C15" s="33">
        <f>IF(C14="","",IF(MONTH(C14)&lt;&gt;MONTH($F$5),"",COUNTIF(Calendar_Date,C14)&amp;IF(COUNTIF(Calendar_Date,C14)=1," post"," posts")))</f>
        <v/>
      </c>
      <c r="D15" s="33">
        <f>IF(D14="","",IF(MONTH(D14)&lt;&gt;MONTH($F$5),"",COUNTIF(Calendar_Date,D14)&amp;IF(COUNTIF(Calendar_Date,D14)=1," post"," posts")))</f>
        <v/>
      </c>
      <c r="E15" s="33">
        <f>IF(E14="","",IF(MONTH(E14)&lt;&gt;MONTH($F$5),"",COUNTIF(Calendar_Date,E14)&amp;IF(COUNTIF(Calendar_Date,E14)=1," post"," posts")))</f>
        <v/>
      </c>
      <c r="F15" s="33">
        <f>IF(F14="","",IF(MONTH(F14)&lt;&gt;MONTH($F$5),"",COUNTIF(Calendar_Date,F14)&amp;IF(COUNTIF(Calendar_Date,F14)=1," post"," posts")))</f>
        <v/>
      </c>
      <c r="G15" s="33">
        <f>IF(G14="","",IF(MONTH(G14)&lt;&gt;MONTH($F$5),"",COUNTIF(Calendar_Date,G14)&amp;IF(COUNTIF(Calendar_Date,G14)=1," post"," posts")))</f>
        <v/>
      </c>
    </row>
    <row r="16" ht="16" customHeight="1">
      <c r="A16" s="32">
        <f>IF($F$5="","",$F$5-WEEKDAY($F$5,2)+1+28)</f>
        <v/>
      </c>
      <c r="B16" s="32">
        <f>IF($F$5="","",$F$5-WEEKDAY($F$5,2)+1+29)</f>
        <v/>
      </c>
      <c r="C16" s="32">
        <f>IF($F$5="","",$F$5-WEEKDAY($F$5,2)+1+30)</f>
        <v/>
      </c>
      <c r="D16" s="32">
        <f>IF($F$5="","",$F$5-WEEKDAY($F$5,2)+1+31)</f>
        <v/>
      </c>
      <c r="E16" s="32">
        <f>IF($F$5="","",$F$5-WEEKDAY($F$5,2)+1+32)</f>
        <v/>
      </c>
      <c r="F16" s="32">
        <f>IF($F$5="","",$F$5-WEEKDAY($F$5,2)+1+33)</f>
        <v/>
      </c>
      <c r="G16" s="32">
        <f>IF($F$5="","",$F$5-WEEKDAY($F$5,2)+1+34)</f>
        <v/>
      </c>
    </row>
    <row r="17" ht="30" customHeight="1">
      <c r="A17" s="33">
        <f>IF(A16="","",IF(MONTH(A16)&lt;&gt;MONTH($F$5),"",COUNTIF(Calendar_Date,A16)&amp;IF(COUNTIF(Calendar_Date,A16)=1," post"," posts")))</f>
        <v/>
      </c>
      <c r="B17" s="33">
        <f>IF(B16="","",IF(MONTH(B16)&lt;&gt;MONTH($F$5),"",COUNTIF(Calendar_Date,B16)&amp;IF(COUNTIF(Calendar_Date,B16)=1," post"," posts")))</f>
        <v/>
      </c>
      <c r="C17" s="33">
        <f>IF(C16="","",IF(MONTH(C16)&lt;&gt;MONTH($F$5),"",COUNTIF(Calendar_Date,C16)&amp;IF(COUNTIF(Calendar_Date,C16)=1," post"," posts")))</f>
        <v/>
      </c>
      <c r="D17" s="33">
        <f>IF(D16="","",IF(MONTH(D16)&lt;&gt;MONTH($F$5),"",COUNTIF(Calendar_Date,D16)&amp;IF(COUNTIF(Calendar_Date,D16)=1," post"," posts")))</f>
        <v/>
      </c>
      <c r="E17" s="33">
        <f>IF(E16="","",IF(MONTH(E16)&lt;&gt;MONTH($F$5),"",COUNTIF(Calendar_Date,E16)&amp;IF(COUNTIF(Calendar_Date,E16)=1," post"," posts")))</f>
        <v/>
      </c>
      <c r="F17" s="33">
        <f>IF(F16="","",IF(MONTH(F16)&lt;&gt;MONTH($F$5),"",COUNTIF(Calendar_Date,F16)&amp;IF(COUNTIF(Calendar_Date,F16)=1," post"," posts")))</f>
        <v/>
      </c>
      <c r="G17" s="33">
        <f>IF(G16="","",IF(MONTH(G16)&lt;&gt;MONTH($F$5),"",COUNTIF(Calendar_Date,G16)&amp;IF(COUNTIF(Calendar_Date,G16)=1," post"," posts")))</f>
        <v/>
      </c>
    </row>
    <row r="18" ht="16" customHeight="1">
      <c r="A18" s="32">
        <f>IF($F$5="","",$F$5-WEEKDAY($F$5,2)+1+35)</f>
        <v/>
      </c>
      <c r="B18" s="32">
        <f>IF($F$5="","",$F$5-WEEKDAY($F$5,2)+1+36)</f>
        <v/>
      </c>
      <c r="C18" s="32">
        <f>IF($F$5="","",$F$5-WEEKDAY($F$5,2)+1+37)</f>
        <v/>
      </c>
      <c r="D18" s="32">
        <f>IF($F$5="","",$F$5-WEEKDAY($F$5,2)+1+38)</f>
        <v/>
      </c>
      <c r="E18" s="32">
        <f>IF($F$5="","",$F$5-WEEKDAY($F$5,2)+1+39)</f>
        <v/>
      </c>
      <c r="F18" s="32">
        <f>IF($F$5="","",$F$5-WEEKDAY($F$5,2)+1+40)</f>
        <v/>
      </c>
      <c r="G18" s="32">
        <f>IF($F$5="","",$F$5-WEEKDAY($F$5,2)+1+41)</f>
        <v/>
      </c>
    </row>
    <row r="19" ht="30" customHeight="1">
      <c r="A19" s="33">
        <f>IF(A18="","",IF(MONTH(A18)&lt;&gt;MONTH($F$5),"",COUNTIF(Calendar_Date,A18)&amp;IF(COUNTIF(Calendar_Date,A18)=1," post"," posts")))</f>
        <v/>
      </c>
      <c r="B19" s="33">
        <f>IF(B18="","",IF(MONTH(B18)&lt;&gt;MONTH($F$5),"",COUNTIF(Calendar_Date,B18)&amp;IF(COUNTIF(Calendar_Date,B18)=1," post"," posts")))</f>
        <v/>
      </c>
      <c r="C19" s="33">
        <f>IF(C18="","",IF(MONTH(C18)&lt;&gt;MONTH($F$5),"",COUNTIF(Calendar_Date,C18)&amp;IF(COUNTIF(Calendar_Date,C18)=1," post"," posts")))</f>
        <v/>
      </c>
      <c r="D19" s="33">
        <f>IF(D18="","",IF(MONTH(D18)&lt;&gt;MONTH($F$5),"",COUNTIF(Calendar_Date,D18)&amp;IF(COUNTIF(Calendar_Date,D18)=1," post"," posts")))</f>
        <v/>
      </c>
      <c r="E19" s="33">
        <f>IF(E18="","",IF(MONTH(E18)&lt;&gt;MONTH($F$5),"",COUNTIF(Calendar_Date,E18)&amp;IF(COUNTIF(Calendar_Date,E18)=1," post"," posts")))</f>
        <v/>
      </c>
      <c r="F19" s="33">
        <f>IF(F18="","",IF(MONTH(F18)&lt;&gt;MONTH($F$5),"",COUNTIF(Calendar_Date,F18)&amp;IF(COUNTIF(Calendar_Date,F18)=1," post"," posts")))</f>
        <v/>
      </c>
      <c r="G19" s="33">
        <f>IF(G18="","",IF(MONTH(G18)&lt;&gt;MONTH($F$5),"",COUNTIF(Calendar_Date,G18)&amp;IF(COUNTIF(Calendar_Date,G18)=1," post"," posts")))</f>
        <v/>
      </c>
    </row>
    <row r="21">
      <c r="A21" s="34" t="inlineStr">
        <is>
          <t>Amber = no posts planned that day. Blue = at least one post.</t>
        </is>
      </c>
    </row>
  </sheetData>
  <conditionalFormatting sqref="A8:G8 A10:G10 A12:G12 A14:G14 A16:G16 A18:G18">
    <cfRule type="expression" priority="1" dxfId="7">
      <formula>AND(ISNUMBER(A8),MONTH(A8)&lt;&gt;MONTH($F$5))</formula>
    </cfRule>
    <cfRule type="expression" priority="2" dxfId="8">
      <formula>AND(AND(ISNUMBER(A8),MONTH(A8)=MONTH($F$5)),COUNTIF(Calendar_Date,A8)=0)</formula>
    </cfRule>
    <cfRule type="expression" priority="3" dxfId="9">
      <formula>AND(AND(ISNUMBER(A8),MONTH(A8)=MONTH($F$5)),COUNTIF(Calendar_Date,A8)&gt;0)</formula>
    </cfRule>
  </conditionalFormatting>
  <conditionalFormatting sqref="A9:G9 A11:G11 A13:G13 A15:G15 A17:G17 A19:G19">
    <cfRule type="expression" priority="4" dxfId="7">
      <formula>AND(ISNUMBER(A8),MONTH(A8)&lt;&gt;MONTH($F$5))</formula>
    </cfRule>
    <cfRule type="expression" priority="5" dxfId="8">
      <formula>AND(AND(ISNUMBER(A8),MONTH(A8)=MONTH($F$5)),COUNTIF(Calendar_Date,A8)=0)</formula>
    </cfRule>
    <cfRule type="expression" priority="6" dxfId="9">
      <formula>AND(AND(ISNUMBER(A8),MONTH(A8)=MONTH($F$5)),COUNTIF(Calendar_Date,A8)&gt;0)</formula>
    </cfRule>
  </conditionalFormatting>
  <dataValidations count="1">
    <dataValidation sqref="B5" showDropDown="0" showInputMessage="0" showErrorMessage="0" allowBlank="1" type="list">
      <formula1>"January,February,March,April,May,June,July,August,September,October,November,December"</formula1>
    </dataValidation>
  </dataValidations>
  <hyperlinks>
    <hyperlink xmlns:r="http://schemas.openxmlformats.org/officeDocument/2006/relationships" ref="H1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C7D7F9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3" customWidth="1" min="4" max="4"/>
    <col width="12" customWidth="1" min="5" max="5"/>
    <col width="12" customWidth="1" min="6" max="6"/>
  </cols>
  <sheetData>
    <row r="1" ht="42" customHeight="1">
      <c r="A1" s="1" t="n"/>
      <c r="B1" s="1" t="n"/>
      <c r="C1" s="1" t="n"/>
      <c r="D1" s="1" t="n"/>
      <c r="E1" s="1" t="n"/>
      <c r="F1" s="2" t="inlineStr">
        <is>
          <t>hopperhq.com</t>
        </is>
      </c>
    </row>
    <row r="2" ht="5" customHeight="1">
      <c r="A2" s="3" t="n"/>
      <c r="B2" s="3" t="n"/>
      <c r="C2" s="3" t="n"/>
      <c r="D2" s="3" t="n"/>
      <c r="E2" s="3" t="n"/>
      <c r="F2" s="3" t="n"/>
    </row>
    <row r="3" ht="26" customHeight="1">
      <c r="A3" s="17" t="inlineStr">
        <is>
          <t>Content mix</t>
        </is>
      </c>
    </row>
    <row r="4">
      <c r="A4" s="16" t="inlineStr">
        <is>
          <t>Rename the pillars and set your targets. Actual shares count posts on Content calendar between the two dates.</t>
        </is>
      </c>
    </row>
    <row r="5">
      <c r="A5" s="26" t="inlineStr">
        <is>
          <t>From</t>
        </is>
      </c>
      <c r="B5" s="35" t="n">
        <v>46327</v>
      </c>
      <c r="C5" s="26" t="inlineStr">
        <is>
          <t>To</t>
        </is>
      </c>
      <c r="D5" s="35" t="n">
        <v>46356</v>
      </c>
    </row>
    <row r="7" ht="30" customHeight="1">
      <c r="A7" s="19" t="inlineStr">
        <is>
          <t>Pillar</t>
        </is>
      </c>
      <c r="B7" s="19" t="inlineStr">
        <is>
          <t>Type</t>
        </is>
      </c>
      <c r="C7" s="19" t="inlineStr">
        <is>
          <t>Target</t>
        </is>
      </c>
      <c r="D7" s="19" t="inlineStr">
        <is>
          <t>Posts</t>
        </is>
      </c>
      <c r="E7" s="19" t="inlineStr">
        <is>
          <t>Actual</t>
        </is>
      </c>
      <c r="F7" s="19" t="inlineStr">
        <is>
          <t>Gap</t>
        </is>
      </c>
    </row>
    <row r="8">
      <c r="A8" s="11" t="inlineStr">
        <is>
          <t>Educate</t>
        </is>
      </c>
      <c r="B8" s="11" t="inlineStr">
        <is>
          <t>Value</t>
        </is>
      </c>
      <c r="C8" s="36" t="n">
        <v>0.3</v>
      </c>
      <c r="D8" s="37">
        <f>IF(A8="","",COUNTIFS(Calendar_Pillar,A8,Calendar_Date,"&gt;="&amp;$B$5,Calendar_Date,"&lt;="&amp;$D$5))</f>
        <v/>
      </c>
      <c r="E8" s="38">
        <f>IF(OR(A8="",$D$16=0),"",D8/$D$16)</f>
        <v/>
      </c>
      <c r="F8" s="39">
        <f>IF(OR(E8="",C8=""),"",E8-C8)</f>
        <v/>
      </c>
    </row>
    <row r="9">
      <c r="A9" s="11" t="inlineStr">
        <is>
          <t>Entertain</t>
        </is>
      </c>
      <c r="B9" s="11" t="inlineStr">
        <is>
          <t>Value</t>
        </is>
      </c>
      <c r="C9" s="36" t="n">
        <v>0.2</v>
      </c>
      <c r="D9" s="37">
        <f>IF(A9="","",COUNTIFS(Calendar_Pillar,A9,Calendar_Date,"&gt;="&amp;$B$5,Calendar_Date,"&lt;="&amp;$D$5))</f>
        <v/>
      </c>
      <c r="E9" s="38">
        <f>IF(OR(A9="",$D$16=0),"",D9/$D$16)</f>
        <v/>
      </c>
      <c r="F9" s="39">
        <f>IF(OR(E9="",C9=""),"",E9-C9)</f>
        <v/>
      </c>
    </row>
    <row r="10">
      <c r="A10" s="11" t="inlineStr">
        <is>
          <t>Inspire</t>
        </is>
      </c>
      <c r="B10" s="11" t="inlineStr">
        <is>
          <t>Value</t>
        </is>
      </c>
      <c r="C10" s="36" t="n">
        <v>0.15</v>
      </c>
      <c r="D10" s="37">
        <f>IF(A10="","",COUNTIFS(Calendar_Pillar,A10,Calendar_Date,"&gt;="&amp;$B$5,Calendar_Date,"&lt;="&amp;$D$5))</f>
        <v/>
      </c>
      <c r="E10" s="38">
        <f>IF(OR(A10="",$D$16=0),"",D10/$D$16)</f>
        <v/>
      </c>
      <c r="F10" s="39">
        <f>IF(OR(E10="",C10=""),"",E10-C10)</f>
        <v/>
      </c>
    </row>
    <row r="11">
      <c r="A11" s="11" t="inlineStr">
        <is>
          <t>Community</t>
        </is>
      </c>
      <c r="B11" s="11" t="inlineStr">
        <is>
          <t>Value</t>
        </is>
      </c>
      <c r="C11" s="36" t="n">
        <v>0.15</v>
      </c>
      <c r="D11" s="37">
        <f>IF(A11="","",COUNTIFS(Calendar_Pillar,A11,Calendar_Date,"&gt;="&amp;$B$5,Calendar_Date,"&lt;="&amp;$D$5))</f>
        <v/>
      </c>
      <c r="E11" s="38">
        <f>IF(OR(A11="",$D$16=0),"",D11/$D$16)</f>
        <v/>
      </c>
      <c r="F11" s="39">
        <f>IF(OR(E11="",C11=""),"",E11-C11)</f>
        <v/>
      </c>
    </row>
    <row r="12">
      <c r="A12" s="11" t="inlineStr">
        <is>
          <t>Promote</t>
        </is>
      </c>
      <c r="B12" s="11" t="inlineStr">
        <is>
          <t>Promotional</t>
        </is>
      </c>
      <c r="C12" s="36" t="n">
        <v>0.2</v>
      </c>
      <c r="D12" s="37">
        <f>IF(A12="","",COUNTIFS(Calendar_Pillar,A12,Calendar_Date,"&gt;="&amp;$B$5,Calendar_Date,"&lt;="&amp;$D$5))</f>
        <v/>
      </c>
      <c r="E12" s="38">
        <f>IF(OR(A12="",$D$16=0),"",D12/$D$16)</f>
        <v/>
      </c>
      <c r="F12" s="39">
        <f>IF(OR(E12="",C12=""),"",E12-C12)</f>
        <v/>
      </c>
    </row>
    <row r="13">
      <c r="A13" s="11" t="n"/>
      <c r="B13" s="11" t="n"/>
      <c r="C13" s="36" t="n"/>
      <c r="D13" s="37">
        <f>IF(A13="","",COUNTIFS(Calendar_Pillar,A13,Calendar_Date,"&gt;="&amp;$B$5,Calendar_Date,"&lt;="&amp;$D$5))</f>
        <v/>
      </c>
      <c r="E13" s="38">
        <f>IF(OR(A13="",$D$16=0),"",D13/$D$16)</f>
        <v/>
      </c>
      <c r="F13" s="39">
        <f>IF(OR(E13="",C13=""),"",E13-C13)</f>
        <v/>
      </c>
    </row>
    <row r="14">
      <c r="A14" s="11" t="n"/>
      <c r="B14" s="11" t="n"/>
      <c r="C14" s="36" t="n"/>
      <c r="D14" s="37">
        <f>IF(A14="","",COUNTIFS(Calendar_Pillar,A14,Calendar_Date,"&gt;="&amp;$B$5,Calendar_Date,"&lt;="&amp;$D$5))</f>
        <v/>
      </c>
      <c r="E14" s="38">
        <f>IF(OR(A14="",$D$16=0),"",D14/$D$16)</f>
        <v/>
      </c>
      <c r="F14" s="39">
        <f>IF(OR(E14="",C14=""),"",E14-C14)</f>
        <v/>
      </c>
    </row>
    <row r="15">
      <c r="A15" s="11" t="n"/>
      <c r="B15" s="11" t="n"/>
      <c r="C15" s="36" t="n"/>
      <c r="D15" s="37">
        <f>IF(A15="","",COUNTIFS(Calendar_Pillar,A15,Calendar_Date,"&gt;="&amp;$B$5,Calendar_Date,"&lt;="&amp;$D$5))</f>
        <v/>
      </c>
      <c r="E15" s="38">
        <f>IF(OR(A15="",$D$16=0),"",D15/$D$16)</f>
        <v/>
      </c>
      <c r="F15" s="39">
        <f>IF(OR(E15="",C15=""),"",E15-C15)</f>
        <v/>
      </c>
    </row>
    <row r="16">
      <c r="A16" s="40" t="inlineStr">
        <is>
          <t>Total</t>
        </is>
      </c>
      <c r="B16" s="40" t="n"/>
      <c r="C16" s="41">
        <f>SUM(C8:C15)</f>
        <v/>
      </c>
      <c r="D16" s="40">
        <f>SUM(D8:D15)</f>
        <v/>
      </c>
      <c r="E16" s="40" t="n"/>
      <c r="F16" s="40" t="n"/>
    </row>
    <row r="17">
      <c r="A17" s="34" t="inlineStr">
        <is>
          <t>Targets should add up to 100%.</t>
        </is>
      </c>
    </row>
    <row r="18">
      <c r="A18" s="8" t="inlineStr">
        <is>
          <t>Value vs promotional</t>
        </is>
      </c>
    </row>
    <row r="19" ht="30" customHeight="1">
      <c r="A19" s="19" t="inlineStr"/>
      <c r="B19" s="19" t="inlineStr">
        <is>
          <t>Target</t>
        </is>
      </c>
      <c r="C19" s="19" t="inlineStr">
        <is>
          <t>Posts</t>
        </is>
      </c>
      <c r="D19" s="19" t="inlineStr">
        <is>
          <t>Actual</t>
        </is>
      </c>
      <c r="E19" s="42" t="inlineStr"/>
      <c r="F19" s="42" t="inlineStr"/>
    </row>
    <row r="20">
      <c r="A20" s="43" t="inlineStr">
        <is>
          <t>Value</t>
        </is>
      </c>
      <c r="B20" s="36" t="n">
        <v>0.8</v>
      </c>
      <c r="C20" s="37">
        <f>SUMIF($B$8:$B$15,A20,$D$8:$D$15)</f>
        <v/>
      </c>
      <c r="D20" s="38">
        <f>IF($D$16=0,"",C20/$D$16)</f>
        <v/>
      </c>
    </row>
    <row r="21">
      <c r="A21" s="43" t="inlineStr">
        <is>
          <t>Promotional</t>
        </is>
      </c>
      <c r="B21" s="36" t="n">
        <v>0.2</v>
      </c>
      <c r="C21" s="37">
        <f>SUMIF($B$8:$B$15,A21,$D$8:$D$15)</f>
        <v/>
      </c>
      <c r="D21" s="38">
        <f>IF($D$16=0,"",C21/$D$16)</f>
        <v/>
      </c>
    </row>
    <row r="22">
      <c r="A22" s="34" t="inlineStr">
        <is>
          <t>The 80/20 rule: roughly four value posts (educate, entertain, inspire, community) for every promotional one.</t>
        </is>
      </c>
    </row>
  </sheetData>
  <conditionalFormatting sqref="F8:F15">
    <cfRule type="expression" priority="1" dxfId="10">
      <formula>AND(ISNUMBER(F8),ABS(F8)&gt;=0.1)</formula>
    </cfRule>
  </conditionalFormatting>
  <dataValidations count="1">
    <dataValidation sqref="B8:B15" showDropDown="0" showInputMessage="0" showErrorMessage="0" allowBlank="1" type="list">
      <formula1>"Value,Promotional"</formula1>
    </dataValidation>
  </dataValidations>
  <hyperlinks>
    <hyperlink xmlns:r="http://schemas.openxmlformats.org/officeDocument/2006/relationships" ref="F1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tabColor rgb="00C7D7F9"/>
    <outlinePr summaryBelow="1" summaryRight="1"/>
    <pageSetUpPr fitToPage="1"/>
  </sheetPr>
  <dimension ref="A1:E1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60" customWidth="1" min="3" max="3"/>
    <col width="44" customWidth="1" min="4" max="4"/>
    <col width="14" customWidth="1" min="5" max="5"/>
  </cols>
  <sheetData>
    <row r="1" ht="42" customHeight="1">
      <c r="A1" s="1" t="n"/>
      <c r="B1" s="1" t="n"/>
      <c r="C1" s="1" t="n"/>
      <c r="D1" s="1" t="n"/>
      <c r="E1" s="2" t="inlineStr">
        <is>
          <t>hopperhq.com</t>
        </is>
      </c>
    </row>
    <row r="2" ht="5" customHeight="1">
      <c r="A2" s="3" t="n"/>
      <c r="B2" s="3" t="n"/>
      <c r="C2" s="3" t="n"/>
      <c r="D2" s="3" t="n"/>
      <c r="E2" s="3" t="n"/>
    </row>
    <row r="3" ht="26" customHeight="1">
      <c r="A3" s="17" t="inlineStr">
        <is>
          <t>Platform cheat sheet</t>
        </is>
      </c>
    </row>
    <row r="4">
      <c r="A4" s="16" t="inlineStr">
        <is>
          <t>Caption limits used by the Characters check on Content calendar. Platforms change these, so check the source if a number looks off.</t>
        </is>
      </c>
    </row>
    <row r="6" ht="30" customHeight="1">
      <c r="A6" s="19" t="inlineStr">
        <is>
          <t>Platform</t>
        </is>
      </c>
      <c r="B6" s="19" t="inlineStr">
        <is>
          <t>Caption limit</t>
        </is>
      </c>
      <c r="C6" s="19" t="inlineStr">
        <is>
          <t>Good to know</t>
        </is>
      </c>
      <c r="D6" s="19" t="inlineStr">
        <is>
          <t>Source</t>
        </is>
      </c>
      <c r="E6" s="19" t="inlineStr">
        <is>
          <t>Last checked</t>
        </is>
      </c>
    </row>
    <row r="7">
      <c r="A7" s="44" t="inlineStr">
        <is>
          <t>Instagram</t>
        </is>
      </c>
      <c r="B7" s="45" t="n">
        <v>2200</v>
      </c>
      <c r="C7" s="46" t="inlineStr">
        <is>
          <t>Only the first ~125 characters show before 'more'.</t>
        </is>
      </c>
      <c r="D7" s="47" t="inlineStr">
        <is>
          <t>https://help.instagram.com/</t>
        </is>
      </c>
      <c r="E7" s="48" t="n">
        <v>46309</v>
      </c>
    </row>
    <row r="8">
      <c r="A8" s="44" t="inlineStr">
        <is>
          <t>Facebook</t>
        </is>
      </c>
      <c r="B8" s="45" t="n">
        <v>63206</v>
      </c>
      <c r="C8" s="46" t="inlineStr">
        <is>
          <t>Shorter posts (under ~80 characters) tend to get more engagement.</t>
        </is>
      </c>
      <c r="D8" s="47" t="inlineStr">
        <is>
          <t>https://www.facebook.com/business/help</t>
        </is>
      </c>
      <c r="E8" s="48" t="n">
        <v>46309</v>
      </c>
    </row>
    <row r="9">
      <c r="A9" s="44" t="inlineStr">
        <is>
          <t>X (Twitter)</t>
        </is>
      </c>
      <c r="B9" s="45" t="n">
        <v>280</v>
      </c>
      <c r="C9" s="46" t="inlineStr">
        <is>
          <t>Premium accounts can post longer; 280 is the safe default.</t>
        </is>
      </c>
      <c r="D9" s="47" t="inlineStr">
        <is>
          <t>https://help.x.com/en/using-x/how-to-post</t>
        </is>
      </c>
      <c r="E9" s="48" t="n">
        <v>46309</v>
      </c>
    </row>
    <row r="10">
      <c r="A10" s="44" t="inlineStr">
        <is>
          <t>LinkedIn</t>
        </is>
      </c>
      <c r="B10" s="45" t="n">
        <v>3000</v>
      </c>
      <c r="C10" s="46" t="inlineStr">
        <is>
          <t>About 210 characters show before 'see more'.</t>
        </is>
      </c>
      <c r="D10" s="47" t="inlineStr">
        <is>
          <t>https://www.linkedin.com/help/linkedin</t>
        </is>
      </c>
      <c r="E10" s="48" t="n">
        <v>46309</v>
      </c>
    </row>
    <row r="11">
      <c r="A11" s="44" t="inlineStr">
        <is>
          <t>TikTok</t>
        </is>
      </c>
      <c r="B11" s="45" t="n">
        <v>4000</v>
      </c>
      <c r="C11" s="46" t="inlineStr">
        <is>
          <t>Caption limit for video posts.</t>
        </is>
      </c>
      <c r="D11" s="47" t="inlineStr">
        <is>
          <t>https://support.tiktok.com/</t>
        </is>
      </c>
      <c r="E11" s="48" t="n">
        <v>46309</v>
      </c>
    </row>
    <row r="12">
      <c r="A12" s="44" t="inlineStr">
        <is>
          <t>YouTube</t>
        </is>
      </c>
      <c r="B12" s="45" t="n">
        <v>5000</v>
      </c>
      <c r="C12" s="46" t="inlineStr">
        <is>
          <t>Description limit. Titles max out at 100 characters.</t>
        </is>
      </c>
      <c r="D12" s="47" t="inlineStr">
        <is>
          <t>https://support.google.com/youtube/answer/57404</t>
        </is>
      </c>
      <c r="E12" s="48" t="n">
        <v>46309</v>
      </c>
    </row>
    <row r="13">
      <c r="A13" s="44" t="inlineStr">
        <is>
          <t>Pinterest</t>
        </is>
      </c>
      <c r="B13" s="45" t="n">
        <v>500</v>
      </c>
      <c r="C13" s="46" t="inlineStr">
        <is>
          <t>Pin description limit. Titles max out at 100 characters.</t>
        </is>
      </c>
      <c r="D13" s="47" t="inlineStr">
        <is>
          <t>https://help.pinterest.com/</t>
        </is>
      </c>
      <c r="E13" s="48" t="n">
        <v>46309</v>
      </c>
    </row>
    <row r="14">
      <c r="A14" s="44" t="inlineStr">
        <is>
          <t>Threads</t>
        </is>
      </c>
      <c r="B14" s="45" t="n">
        <v>500</v>
      </c>
      <c r="C14" s="46" t="inlineStr">
        <is>
          <t>Text post limit.</t>
        </is>
      </c>
      <c r="D14" s="47" t="inlineStr">
        <is>
          <t>https://help.instagram.com/</t>
        </is>
      </c>
      <c r="E14" s="48" t="n">
        <v>46309</v>
      </c>
    </row>
    <row r="15">
      <c r="A15" s="44" t="inlineStr">
        <is>
          <t>Bluesky</t>
        </is>
      </c>
      <c r="B15" s="45" t="n">
        <v>300</v>
      </c>
      <c r="C15" s="46" t="inlineStr">
        <is>
          <t>Post limit.</t>
        </is>
      </c>
      <c r="D15" s="47" t="inlineStr">
        <is>
          <t>https://bsky.social/about/faq</t>
        </is>
      </c>
      <c r="E15" s="48" t="n">
        <v>46309</v>
      </c>
    </row>
  </sheetData>
  <hyperlinks>
    <hyperlink xmlns:r="http://schemas.openxmlformats.org/officeDocument/2006/relationships" ref="E1" r:id="rId1"/>
    <hyperlink xmlns:r="http://schemas.openxmlformats.org/officeDocument/2006/relationships" ref="D7" r:id="rId2"/>
    <hyperlink xmlns:r="http://schemas.openxmlformats.org/officeDocument/2006/relationships" ref="D8" r:id="rId3"/>
    <hyperlink xmlns:r="http://schemas.openxmlformats.org/officeDocument/2006/relationships" ref="D9" r:id="rId4"/>
    <hyperlink xmlns:r="http://schemas.openxmlformats.org/officeDocument/2006/relationships" ref="D10" r:id="rId5"/>
    <hyperlink xmlns:r="http://schemas.openxmlformats.org/officeDocument/2006/relationships" ref="D11" r:id="rId6"/>
    <hyperlink xmlns:r="http://schemas.openxmlformats.org/officeDocument/2006/relationships" ref="D12" r:id="rId7"/>
    <hyperlink xmlns:r="http://schemas.openxmlformats.org/officeDocument/2006/relationships" ref="D13" r:id="rId8"/>
    <hyperlink xmlns:r="http://schemas.openxmlformats.org/officeDocument/2006/relationships" ref="D14" r:id="rId9"/>
    <hyperlink xmlns:r="http://schemas.openxmlformats.org/officeDocument/2006/relationships" ref="D15" r:id="rId10"/>
  </hyperlinks>
  <pageMargins left="0.75" right="0.75" top="1" bottom="1" header="0.5" footer="0.5"/>
  <pageSetup orientation="landscape" fitToHeight="0" fitToWidth="1"/>
  <drawing xmlns:r="http://schemas.openxmlformats.org/officeDocument/2006/relationships" r:id="rId11"/>
</worksheet>
</file>

<file path=xl/worksheets/sheet6.xml><?xml version="1.0" encoding="utf-8"?>
<worksheet xmlns="http://schemas.openxmlformats.org/spreadsheetml/2006/main">
  <sheetPr>
    <tabColor rgb="00C7D7F9"/>
    <outlinePr summaryBelow="1" summaryRight="1"/>
    <pageSetUpPr fitToPage="1"/>
  </sheetPr>
  <dimension ref="A1:E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30" customWidth="1" min="3" max="3"/>
    <col width="40" customWidth="1" min="4" max="4"/>
    <col width="30" customWidth="1" min="5" max="5"/>
  </cols>
  <sheetData>
    <row r="1" ht="30" customHeight="1">
      <c r="A1" s="19" t="inlineStr">
        <is>
          <t>Caption</t>
        </is>
      </c>
      <c r="B1" s="19" t="inlineStr">
        <is>
          <t>Date Time</t>
        </is>
      </c>
      <c r="C1" s="19" t="inlineStr">
        <is>
          <t>First Comment</t>
        </is>
      </c>
      <c r="D1" s="19" t="inlineStr">
        <is>
          <t>Media</t>
        </is>
      </c>
      <c r="E1" s="19" t="inlineStr">
        <is>
          <t>Notes</t>
        </is>
      </c>
    </row>
    <row r="2">
      <c r="A2" s="49">
        <f>IFERROR(INDEX('Content calendar'!$H$7:$H$506,MATCH(1,'Content calendar'!$P$7:$P$506,0))&amp;"","")</f>
        <v/>
      </c>
      <c r="B2" s="49">
        <f>IFERROR(YEAR(INDEX('Content calendar'!$A$7:$A$506,MATCH(1,'Content calendar'!$P$7:$P$506,0)))&amp;"-"&amp;TEXT(MONTH(INDEX('Content calendar'!$A$7:$A$506,MATCH(1,'Content calendar'!$P$7:$P$506,0))),"00")&amp;"-"&amp;TEXT(DAY(INDEX('Content calendar'!$A$7:$A$506,MATCH(1,'Content calendar'!$P$7:$P$506,0))),"00")&amp;" "&amp;TEXT(HOUR(INDEX('Content calendar'!$B$7:$B$506,MATCH(1,'Content calendar'!$P$7:$P$506,0))),"00")&amp;":"&amp;TEXT(MINUTE(INDEX('Content calendar'!$B$7:$B$506,MATCH(1,'Content calendar'!$P$7:$P$506,0))),"00"),"")</f>
        <v/>
      </c>
      <c r="C2" s="49">
        <f>IFERROR(INDEX('Content calendar'!$K$7:$K$506,MATCH(1,'Content calendar'!$P$7:$P$506,0))&amp;"","")</f>
        <v/>
      </c>
      <c r="D2" s="49">
        <f>IFERROR(INDEX('Content calendar'!$L$7:$L$506,MATCH(1,'Content calendar'!$P$7:$P$506,0))&amp;"","")</f>
        <v/>
      </c>
      <c r="E2" s="49">
        <f>IFERROR(INDEX('Content calendar'!$O$7:$O$506,MATCH(1,'Content calendar'!$P$7:$P$506,0))&amp;"","")</f>
        <v/>
      </c>
    </row>
    <row r="3">
      <c r="A3" s="49">
        <f>IFERROR(INDEX('Content calendar'!$H$7:$H$506,MATCH(2,'Content calendar'!$P$7:$P$506,0))&amp;"","")</f>
        <v/>
      </c>
      <c r="B3" s="49">
        <f>IFERROR(YEAR(INDEX('Content calendar'!$A$7:$A$506,MATCH(2,'Content calendar'!$P$7:$P$506,0)))&amp;"-"&amp;TEXT(MONTH(INDEX('Content calendar'!$A$7:$A$506,MATCH(2,'Content calendar'!$P$7:$P$506,0))),"00")&amp;"-"&amp;TEXT(DAY(INDEX('Content calendar'!$A$7:$A$506,MATCH(2,'Content calendar'!$P$7:$P$506,0))),"00")&amp;" "&amp;TEXT(HOUR(INDEX('Content calendar'!$B$7:$B$506,MATCH(2,'Content calendar'!$P$7:$P$506,0))),"00")&amp;":"&amp;TEXT(MINUTE(INDEX('Content calendar'!$B$7:$B$506,MATCH(2,'Content calendar'!$P$7:$P$506,0))),"00"),"")</f>
        <v/>
      </c>
      <c r="C3" s="49">
        <f>IFERROR(INDEX('Content calendar'!$K$7:$K$506,MATCH(2,'Content calendar'!$P$7:$P$506,0))&amp;"","")</f>
        <v/>
      </c>
      <c r="D3" s="49">
        <f>IFERROR(INDEX('Content calendar'!$L$7:$L$506,MATCH(2,'Content calendar'!$P$7:$P$506,0))&amp;"","")</f>
        <v/>
      </c>
      <c r="E3" s="49">
        <f>IFERROR(INDEX('Content calendar'!$O$7:$O$506,MATCH(2,'Content calendar'!$P$7:$P$506,0))&amp;"","")</f>
        <v/>
      </c>
    </row>
    <row r="4">
      <c r="A4" s="49">
        <f>IFERROR(INDEX('Content calendar'!$H$7:$H$506,MATCH(3,'Content calendar'!$P$7:$P$506,0))&amp;"","")</f>
        <v/>
      </c>
      <c r="B4" s="49">
        <f>IFERROR(YEAR(INDEX('Content calendar'!$A$7:$A$506,MATCH(3,'Content calendar'!$P$7:$P$506,0)))&amp;"-"&amp;TEXT(MONTH(INDEX('Content calendar'!$A$7:$A$506,MATCH(3,'Content calendar'!$P$7:$P$506,0))),"00")&amp;"-"&amp;TEXT(DAY(INDEX('Content calendar'!$A$7:$A$506,MATCH(3,'Content calendar'!$P$7:$P$506,0))),"00")&amp;" "&amp;TEXT(HOUR(INDEX('Content calendar'!$B$7:$B$506,MATCH(3,'Content calendar'!$P$7:$P$506,0))),"00")&amp;":"&amp;TEXT(MINUTE(INDEX('Content calendar'!$B$7:$B$506,MATCH(3,'Content calendar'!$P$7:$P$506,0))),"00"),"")</f>
        <v/>
      </c>
      <c r="C4" s="49">
        <f>IFERROR(INDEX('Content calendar'!$K$7:$K$506,MATCH(3,'Content calendar'!$P$7:$P$506,0))&amp;"","")</f>
        <v/>
      </c>
      <c r="D4" s="49">
        <f>IFERROR(INDEX('Content calendar'!$L$7:$L$506,MATCH(3,'Content calendar'!$P$7:$P$506,0))&amp;"","")</f>
        <v/>
      </c>
      <c r="E4" s="49">
        <f>IFERROR(INDEX('Content calendar'!$O$7:$O$506,MATCH(3,'Content calendar'!$P$7:$P$506,0))&amp;"","")</f>
        <v/>
      </c>
    </row>
    <row r="5">
      <c r="A5" s="49">
        <f>IFERROR(INDEX('Content calendar'!$H$7:$H$506,MATCH(4,'Content calendar'!$P$7:$P$506,0))&amp;"","")</f>
        <v/>
      </c>
      <c r="B5" s="49">
        <f>IFERROR(YEAR(INDEX('Content calendar'!$A$7:$A$506,MATCH(4,'Content calendar'!$P$7:$P$506,0)))&amp;"-"&amp;TEXT(MONTH(INDEX('Content calendar'!$A$7:$A$506,MATCH(4,'Content calendar'!$P$7:$P$506,0))),"00")&amp;"-"&amp;TEXT(DAY(INDEX('Content calendar'!$A$7:$A$506,MATCH(4,'Content calendar'!$P$7:$P$506,0))),"00")&amp;" "&amp;TEXT(HOUR(INDEX('Content calendar'!$B$7:$B$506,MATCH(4,'Content calendar'!$P$7:$P$506,0))),"00")&amp;":"&amp;TEXT(MINUTE(INDEX('Content calendar'!$B$7:$B$506,MATCH(4,'Content calendar'!$P$7:$P$506,0))),"00"),"")</f>
        <v/>
      </c>
      <c r="C5" s="49">
        <f>IFERROR(INDEX('Content calendar'!$K$7:$K$506,MATCH(4,'Content calendar'!$P$7:$P$506,0))&amp;"","")</f>
        <v/>
      </c>
      <c r="D5" s="49">
        <f>IFERROR(INDEX('Content calendar'!$L$7:$L$506,MATCH(4,'Content calendar'!$P$7:$P$506,0))&amp;"","")</f>
        <v/>
      </c>
      <c r="E5" s="49">
        <f>IFERROR(INDEX('Content calendar'!$O$7:$O$506,MATCH(4,'Content calendar'!$P$7:$P$506,0))&amp;"","")</f>
        <v/>
      </c>
    </row>
    <row r="6">
      <c r="A6" s="49">
        <f>IFERROR(INDEX('Content calendar'!$H$7:$H$506,MATCH(5,'Content calendar'!$P$7:$P$506,0))&amp;"","")</f>
        <v/>
      </c>
      <c r="B6" s="49">
        <f>IFERROR(YEAR(INDEX('Content calendar'!$A$7:$A$506,MATCH(5,'Content calendar'!$P$7:$P$506,0)))&amp;"-"&amp;TEXT(MONTH(INDEX('Content calendar'!$A$7:$A$506,MATCH(5,'Content calendar'!$P$7:$P$506,0))),"00")&amp;"-"&amp;TEXT(DAY(INDEX('Content calendar'!$A$7:$A$506,MATCH(5,'Content calendar'!$P$7:$P$506,0))),"00")&amp;" "&amp;TEXT(HOUR(INDEX('Content calendar'!$B$7:$B$506,MATCH(5,'Content calendar'!$P$7:$P$506,0))),"00")&amp;":"&amp;TEXT(MINUTE(INDEX('Content calendar'!$B$7:$B$506,MATCH(5,'Content calendar'!$P$7:$P$506,0))),"00"),"")</f>
        <v/>
      </c>
      <c r="C6" s="49">
        <f>IFERROR(INDEX('Content calendar'!$K$7:$K$506,MATCH(5,'Content calendar'!$P$7:$P$506,0))&amp;"","")</f>
        <v/>
      </c>
      <c r="D6" s="49">
        <f>IFERROR(INDEX('Content calendar'!$L$7:$L$506,MATCH(5,'Content calendar'!$P$7:$P$506,0))&amp;"","")</f>
        <v/>
      </c>
      <c r="E6" s="49">
        <f>IFERROR(INDEX('Content calendar'!$O$7:$O$506,MATCH(5,'Content calendar'!$P$7:$P$506,0))&amp;"","")</f>
        <v/>
      </c>
    </row>
    <row r="7">
      <c r="A7" s="49">
        <f>IFERROR(INDEX('Content calendar'!$H$7:$H$506,MATCH(6,'Content calendar'!$P$7:$P$506,0))&amp;"","")</f>
        <v/>
      </c>
      <c r="B7" s="49">
        <f>IFERROR(YEAR(INDEX('Content calendar'!$A$7:$A$506,MATCH(6,'Content calendar'!$P$7:$P$506,0)))&amp;"-"&amp;TEXT(MONTH(INDEX('Content calendar'!$A$7:$A$506,MATCH(6,'Content calendar'!$P$7:$P$506,0))),"00")&amp;"-"&amp;TEXT(DAY(INDEX('Content calendar'!$A$7:$A$506,MATCH(6,'Content calendar'!$P$7:$P$506,0))),"00")&amp;" "&amp;TEXT(HOUR(INDEX('Content calendar'!$B$7:$B$506,MATCH(6,'Content calendar'!$P$7:$P$506,0))),"00")&amp;":"&amp;TEXT(MINUTE(INDEX('Content calendar'!$B$7:$B$506,MATCH(6,'Content calendar'!$P$7:$P$506,0))),"00"),"")</f>
        <v/>
      </c>
      <c r="C7" s="49">
        <f>IFERROR(INDEX('Content calendar'!$K$7:$K$506,MATCH(6,'Content calendar'!$P$7:$P$506,0))&amp;"","")</f>
        <v/>
      </c>
      <c r="D7" s="49">
        <f>IFERROR(INDEX('Content calendar'!$L$7:$L$506,MATCH(6,'Content calendar'!$P$7:$P$506,0))&amp;"","")</f>
        <v/>
      </c>
      <c r="E7" s="49">
        <f>IFERROR(INDEX('Content calendar'!$O$7:$O$506,MATCH(6,'Content calendar'!$P$7:$P$506,0))&amp;"","")</f>
        <v/>
      </c>
    </row>
    <row r="8">
      <c r="A8" s="49">
        <f>IFERROR(INDEX('Content calendar'!$H$7:$H$506,MATCH(7,'Content calendar'!$P$7:$P$506,0))&amp;"","")</f>
        <v/>
      </c>
      <c r="B8" s="49">
        <f>IFERROR(YEAR(INDEX('Content calendar'!$A$7:$A$506,MATCH(7,'Content calendar'!$P$7:$P$506,0)))&amp;"-"&amp;TEXT(MONTH(INDEX('Content calendar'!$A$7:$A$506,MATCH(7,'Content calendar'!$P$7:$P$506,0))),"00")&amp;"-"&amp;TEXT(DAY(INDEX('Content calendar'!$A$7:$A$506,MATCH(7,'Content calendar'!$P$7:$P$506,0))),"00")&amp;" "&amp;TEXT(HOUR(INDEX('Content calendar'!$B$7:$B$506,MATCH(7,'Content calendar'!$P$7:$P$506,0))),"00")&amp;":"&amp;TEXT(MINUTE(INDEX('Content calendar'!$B$7:$B$506,MATCH(7,'Content calendar'!$P$7:$P$506,0))),"00"),"")</f>
        <v/>
      </c>
      <c r="C8" s="49">
        <f>IFERROR(INDEX('Content calendar'!$K$7:$K$506,MATCH(7,'Content calendar'!$P$7:$P$506,0))&amp;"","")</f>
        <v/>
      </c>
      <c r="D8" s="49">
        <f>IFERROR(INDEX('Content calendar'!$L$7:$L$506,MATCH(7,'Content calendar'!$P$7:$P$506,0))&amp;"","")</f>
        <v/>
      </c>
      <c r="E8" s="49">
        <f>IFERROR(INDEX('Content calendar'!$O$7:$O$506,MATCH(7,'Content calendar'!$P$7:$P$506,0))&amp;"","")</f>
        <v/>
      </c>
    </row>
    <row r="9">
      <c r="A9" s="49">
        <f>IFERROR(INDEX('Content calendar'!$H$7:$H$506,MATCH(8,'Content calendar'!$P$7:$P$506,0))&amp;"","")</f>
        <v/>
      </c>
      <c r="B9" s="49">
        <f>IFERROR(YEAR(INDEX('Content calendar'!$A$7:$A$506,MATCH(8,'Content calendar'!$P$7:$P$506,0)))&amp;"-"&amp;TEXT(MONTH(INDEX('Content calendar'!$A$7:$A$506,MATCH(8,'Content calendar'!$P$7:$P$506,0))),"00")&amp;"-"&amp;TEXT(DAY(INDEX('Content calendar'!$A$7:$A$506,MATCH(8,'Content calendar'!$P$7:$P$506,0))),"00")&amp;" "&amp;TEXT(HOUR(INDEX('Content calendar'!$B$7:$B$506,MATCH(8,'Content calendar'!$P$7:$P$506,0))),"00")&amp;":"&amp;TEXT(MINUTE(INDEX('Content calendar'!$B$7:$B$506,MATCH(8,'Content calendar'!$P$7:$P$506,0))),"00"),"")</f>
        <v/>
      </c>
      <c r="C9" s="49">
        <f>IFERROR(INDEX('Content calendar'!$K$7:$K$506,MATCH(8,'Content calendar'!$P$7:$P$506,0))&amp;"","")</f>
        <v/>
      </c>
      <c r="D9" s="49">
        <f>IFERROR(INDEX('Content calendar'!$L$7:$L$506,MATCH(8,'Content calendar'!$P$7:$P$506,0))&amp;"","")</f>
        <v/>
      </c>
      <c r="E9" s="49">
        <f>IFERROR(INDEX('Content calendar'!$O$7:$O$506,MATCH(8,'Content calendar'!$P$7:$P$506,0))&amp;"","")</f>
        <v/>
      </c>
    </row>
    <row r="10">
      <c r="A10" s="49">
        <f>IFERROR(INDEX('Content calendar'!$H$7:$H$506,MATCH(9,'Content calendar'!$P$7:$P$506,0))&amp;"","")</f>
        <v/>
      </c>
      <c r="B10" s="49">
        <f>IFERROR(YEAR(INDEX('Content calendar'!$A$7:$A$506,MATCH(9,'Content calendar'!$P$7:$P$506,0)))&amp;"-"&amp;TEXT(MONTH(INDEX('Content calendar'!$A$7:$A$506,MATCH(9,'Content calendar'!$P$7:$P$506,0))),"00")&amp;"-"&amp;TEXT(DAY(INDEX('Content calendar'!$A$7:$A$506,MATCH(9,'Content calendar'!$P$7:$P$506,0))),"00")&amp;" "&amp;TEXT(HOUR(INDEX('Content calendar'!$B$7:$B$506,MATCH(9,'Content calendar'!$P$7:$P$506,0))),"00")&amp;":"&amp;TEXT(MINUTE(INDEX('Content calendar'!$B$7:$B$506,MATCH(9,'Content calendar'!$P$7:$P$506,0))),"00"),"")</f>
        <v/>
      </c>
      <c r="C10" s="49">
        <f>IFERROR(INDEX('Content calendar'!$K$7:$K$506,MATCH(9,'Content calendar'!$P$7:$P$506,0))&amp;"","")</f>
        <v/>
      </c>
      <c r="D10" s="49">
        <f>IFERROR(INDEX('Content calendar'!$L$7:$L$506,MATCH(9,'Content calendar'!$P$7:$P$506,0))&amp;"","")</f>
        <v/>
      </c>
      <c r="E10" s="49">
        <f>IFERROR(INDEX('Content calendar'!$O$7:$O$506,MATCH(9,'Content calendar'!$P$7:$P$506,0))&amp;"","")</f>
        <v/>
      </c>
    </row>
    <row r="11">
      <c r="A11" s="49">
        <f>IFERROR(INDEX('Content calendar'!$H$7:$H$506,MATCH(10,'Content calendar'!$P$7:$P$506,0))&amp;"","")</f>
        <v/>
      </c>
      <c r="B11" s="49">
        <f>IFERROR(YEAR(INDEX('Content calendar'!$A$7:$A$506,MATCH(10,'Content calendar'!$P$7:$P$506,0)))&amp;"-"&amp;TEXT(MONTH(INDEX('Content calendar'!$A$7:$A$506,MATCH(10,'Content calendar'!$P$7:$P$506,0))),"00")&amp;"-"&amp;TEXT(DAY(INDEX('Content calendar'!$A$7:$A$506,MATCH(10,'Content calendar'!$P$7:$P$506,0))),"00")&amp;" "&amp;TEXT(HOUR(INDEX('Content calendar'!$B$7:$B$506,MATCH(10,'Content calendar'!$P$7:$P$506,0))),"00")&amp;":"&amp;TEXT(MINUTE(INDEX('Content calendar'!$B$7:$B$506,MATCH(10,'Content calendar'!$P$7:$P$506,0))),"00"),"")</f>
        <v/>
      </c>
      <c r="C11" s="49">
        <f>IFERROR(INDEX('Content calendar'!$K$7:$K$506,MATCH(10,'Content calendar'!$P$7:$P$506,0))&amp;"","")</f>
        <v/>
      </c>
      <c r="D11" s="49">
        <f>IFERROR(INDEX('Content calendar'!$L$7:$L$506,MATCH(10,'Content calendar'!$P$7:$P$506,0))&amp;"","")</f>
        <v/>
      </c>
      <c r="E11" s="49">
        <f>IFERROR(INDEX('Content calendar'!$O$7:$O$506,MATCH(10,'Content calendar'!$P$7:$P$506,0))&amp;"","")</f>
        <v/>
      </c>
    </row>
    <row r="12">
      <c r="A12" s="49">
        <f>IFERROR(INDEX('Content calendar'!$H$7:$H$506,MATCH(11,'Content calendar'!$P$7:$P$506,0))&amp;"","")</f>
        <v/>
      </c>
      <c r="B12" s="49">
        <f>IFERROR(YEAR(INDEX('Content calendar'!$A$7:$A$506,MATCH(11,'Content calendar'!$P$7:$P$506,0)))&amp;"-"&amp;TEXT(MONTH(INDEX('Content calendar'!$A$7:$A$506,MATCH(11,'Content calendar'!$P$7:$P$506,0))),"00")&amp;"-"&amp;TEXT(DAY(INDEX('Content calendar'!$A$7:$A$506,MATCH(11,'Content calendar'!$P$7:$P$506,0))),"00")&amp;" "&amp;TEXT(HOUR(INDEX('Content calendar'!$B$7:$B$506,MATCH(11,'Content calendar'!$P$7:$P$506,0))),"00")&amp;":"&amp;TEXT(MINUTE(INDEX('Content calendar'!$B$7:$B$506,MATCH(11,'Content calendar'!$P$7:$P$506,0))),"00"),"")</f>
        <v/>
      </c>
      <c r="C12" s="49">
        <f>IFERROR(INDEX('Content calendar'!$K$7:$K$506,MATCH(11,'Content calendar'!$P$7:$P$506,0))&amp;"","")</f>
        <v/>
      </c>
      <c r="D12" s="49">
        <f>IFERROR(INDEX('Content calendar'!$L$7:$L$506,MATCH(11,'Content calendar'!$P$7:$P$506,0))&amp;"","")</f>
        <v/>
      </c>
      <c r="E12" s="49">
        <f>IFERROR(INDEX('Content calendar'!$O$7:$O$506,MATCH(11,'Content calendar'!$P$7:$P$506,0))&amp;"","")</f>
        <v/>
      </c>
    </row>
    <row r="13">
      <c r="A13" s="49">
        <f>IFERROR(INDEX('Content calendar'!$H$7:$H$506,MATCH(12,'Content calendar'!$P$7:$P$506,0))&amp;"","")</f>
        <v/>
      </c>
      <c r="B13" s="49">
        <f>IFERROR(YEAR(INDEX('Content calendar'!$A$7:$A$506,MATCH(12,'Content calendar'!$P$7:$P$506,0)))&amp;"-"&amp;TEXT(MONTH(INDEX('Content calendar'!$A$7:$A$506,MATCH(12,'Content calendar'!$P$7:$P$506,0))),"00")&amp;"-"&amp;TEXT(DAY(INDEX('Content calendar'!$A$7:$A$506,MATCH(12,'Content calendar'!$P$7:$P$506,0))),"00")&amp;" "&amp;TEXT(HOUR(INDEX('Content calendar'!$B$7:$B$506,MATCH(12,'Content calendar'!$P$7:$P$506,0))),"00")&amp;":"&amp;TEXT(MINUTE(INDEX('Content calendar'!$B$7:$B$506,MATCH(12,'Content calendar'!$P$7:$P$506,0))),"00"),"")</f>
        <v/>
      </c>
      <c r="C13" s="49">
        <f>IFERROR(INDEX('Content calendar'!$K$7:$K$506,MATCH(12,'Content calendar'!$P$7:$P$506,0))&amp;"","")</f>
        <v/>
      </c>
      <c r="D13" s="49">
        <f>IFERROR(INDEX('Content calendar'!$L$7:$L$506,MATCH(12,'Content calendar'!$P$7:$P$506,0))&amp;"","")</f>
        <v/>
      </c>
      <c r="E13" s="49">
        <f>IFERROR(INDEX('Content calendar'!$O$7:$O$506,MATCH(12,'Content calendar'!$P$7:$P$506,0))&amp;"","")</f>
        <v/>
      </c>
    </row>
    <row r="14">
      <c r="A14" s="49">
        <f>IFERROR(INDEX('Content calendar'!$H$7:$H$506,MATCH(13,'Content calendar'!$P$7:$P$506,0))&amp;"","")</f>
        <v/>
      </c>
      <c r="B14" s="49">
        <f>IFERROR(YEAR(INDEX('Content calendar'!$A$7:$A$506,MATCH(13,'Content calendar'!$P$7:$P$506,0)))&amp;"-"&amp;TEXT(MONTH(INDEX('Content calendar'!$A$7:$A$506,MATCH(13,'Content calendar'!$P$7:$P$506,0))),"00")&amp;"-"&amp;TEXT(DAY(INDEX('Content calendar'!$A$7:$A$506,MATCH(13,'Content calendar'!$P$7:$P$506,0))),"00")&amp;" "&amp;TEXT(HOUR(INDEX('Content calendar'!$B$7:$B$506,MATCH(13,'Content calendar'!$P$7:$P$506,0))),"00")&amp;":"&amp;TEXT(MINUTE(INDEX('Content calendar'!$B$7:$B$506,MATCH(13,'Content calendar'!$P$7:$P$506,0))),"00"),"")</f>
        <v/>
      </c>
      <c r="C14" s="49">
        <f>IFERROR(INDEX('Content calendar'!$K$7:$K$506,MATCH(13,'Content calendar'!$P$7:$P$506,0))&amp;"","")</f>
        <v/>
      </c>
      <c r="D14" s="49">
        <f>IFERROR(INDEX('Content calendar'!$L$7:$L$506,MATCH(13,'Content calendar'!$P$7:$P$506,0))&amp;"","")</f>
        <v/>
      </c>
      <c r="E14" s="49">
        <f>IFERROR(INDEX('Content calendar'!$O$7:$O$506,MATCH(13,'Content calendar'!$P$7:$P$506,0))&amp;"","")</f>
        <v/>
      </c>
    </row>
    <row r="15">
      <c r="A15" s="49">
        <f>IFERROR(INDEX('Content calendar'!$H$7:$H$506,MATCH(14,'Content calendar'!$P$7:$P$506,0))&amp;"","")</f>
        <v/>
      </c>
      <c r="B15" s="49">
        <f>IFERROR(YEAR(INDEX('Content calendar'!$A$7:$A$506,MATCH(14,'Content calendar'!$P$7:$P$506,0)))&amp;"-"&amp;TEXT(MONTH(INDEX('Content calendar'!$A$7:$A$506,MATCH(14,'Content calendar'!$P$7:$P$506,0))),"00")&amp;"-"&amp;TEXT(DAY(INDEX('Content calendar'!$A$7:$A$506,MATCH(14,'Content calendar'!$P$7:$P$506,0))),"00")&amp;" "&amp;TEXT(HOUR(INDEX('Content calendar'!$B$7:$B$506,MATCH(14,'Content calendar'!$P$7:$P$506,0))),"00")&amp;":"&amp;TEXT(MINUTE(INDEX('Content calendar'!$B$7:$B$506,MATCH(14,'Content calendar'!$P$7:$P$506,0))),"00"),"")</f>
        <v/>
      </c>
      <c r="C15" s="49">
        <f>IFERROR(INDEX('Content calendar'!$K$7:$K$506,MATCH(14,'Content calendar'!$P$7:$P$506,0))&amp;"","")</f>
        <v/>
      </c>
      <c r="D15" s="49">
        <f>IFERROR(INDEX('Content calendar'!$L$7:$L$506,MATCH(14,'Content calendar'!$P$7:$P$506,0))&amp;"","")</f>
        <v/>
      </c>
      <c r="E15" s="49">
        <f>IFERROR(INDEX('Content calendar'!$O$7:$O$506,MATCH(14,'Content calendar'!$P$7:$P$506,0))&amp;"","")</f>
        <v/>
      </c>
    </row>
    <row r="16">
      <c r="A16" s="49">
        <f>IFERROR(INDEX('Content calendar'!$H$7:$H$506,MATCH(15,'Content calendar'!$P$7:$P$506,0))&amp;"","")</f>
        <v/>
      </c>
      <c r="B16" s="49">
        <f>IFERROR(YEAR(INDEX('Content calendar'!$A$7:$A$506,MATCH(15,'Content calendar'!$P$7:$P$506,0)))&amp;"-"&amp;TEXT(MONTH(INDEX('Content calendar'!$A$7:$A$506,MATCH(15,'Content calendar'!$P$7:$P$506,0))),"00")&amp;"-"&amp;TEXT(DAY(INDEX('Content calendar'!$A$7:$A$506,MATCH(15,'Content calendar'!$P$7:$P$506,0))),"00")&amp;" "&amp;TEXT(HOUR(INDEX('Content calendar'!$B$7:$B$506,MATCH(15,'Content calendar'!$P$7:$P$506,0))),"00")&amp;":"&amp;TEXT(MINUTE(INDEX('Content calendar'!$B$7:$B$506,MATCH(15,'Content calendar'!$P$7:$P$506,0))),"00"),"")</f>
        <v/>
      </c>
      <c r="C16" s="49">
        <f>IFERROR(INDEX('Content calendar'!$K$7:$K$506,MATCH(15,'Content calendar'!$P$7:$P$506,0))&amp;"","")</f>
        <v/>
      </c>
      <c r="D16" s="49">
        <f>IFERROR(INDEX('Content calendar'!$L$7:$L$506,MATCH(15,'Content calendar'!$P$7:$P$506,0))&amp;"","")</f>
        <v/>
      </c>
      <c r="E16" s="49">
        <f>IFERROR(INDEX('Content calendar'!$O$7:$O$506,MATCH(15,'Content calendar'!$P$7:$P$506,0))&amp;"","")</f>
        <v/>
      </c>
    </row>
    <row r="17">
      <c r="A17" s="49">
        <f>IFERROR(INDEX('Content calendar'!$H$7:$H$506,MATCH(16,'Content calendar'!$P$7:$P$506,0))&amp;"","")</f>
        <v/>
      </c>
      <c r="B17" s="49">
        <f>IFERROR(YEAR(INDEX('Content calendar'!$A$7:$A$506,MATCH(16,'Content calendar'!$P$7:$P$506,0)))&amp;"-"&amp;TEXT(MONTH(INDEX('Content calendar'!$A$7:$A$506,MATCH(16,'Content calendar'!$P$7:$P$506,0))),"00")&amp;"-"&amp;TEXT(DAY(INDEX('Content calendar'!$A$7:$A$506,MATCH(16,'Content calendar'!$P$7:$P$506,0))),"00")&amp;" "&amp;TEXT(HOUR(INDEX('Content calendar'!$B$7:$B$506,MATCH(16,'Content calendar'!$P$7:$P$506,0))),"00")&amp;":"&amp;TEXT(MINUTE(INDEX('Content calendar'!$B$7:$B$506,MATCH(16,'Content calendar'!$P$7:$P$506,0))),"00"),"")</f>
        <v/>
      </c>
      <c r="C17" s="49">
        <f>IFERROR(INDEX('Content calendar'!$K$7:$K$506,MATCH(16,'Content calendar'!$P$7:$P$506,0))&amp;"","")</f>
        <v/>
      </c>
      <c r="D17" s="49">
        <f>IFERROR(INDEX('Content calendar'!$L$7:$L$506,MATCH(16,'Content calendar'!$P$7:$P$506,0))&amp;"","")</f>
        <v/>
      </c>
      <c r="E17" s="49">
        <f>IFERROR(INDEX('Content calendar'!$O$7:$O$506,MATCH(16,'Content calendar'!$P$7:$P$506,0))&amp;"","")</f>
        <v/>
      </c>
    </row>
    <row r="18">
      <c r="A18" s="49">
        <f>IFERROR(INDEX('Content calendar'!$H$7:$H$506,MATCH(17,'Content calendar'!$P$7:$P$506,0))&amp;"","")</f>
        <v/>
      </c>
      <c r="B18" s="49">
        <f>IFERROR(YEAR(INDEX('Content calendar'!$A$7:$A$506,MATCH(17,'Content calendar'!$P$7:$P$506,0)))&amp;"-"&amp;TEXT(MONTH(INDEX('Content calendar'!$A$7:$A$506,MATCH(17,'Content calendar'!$P$7:$P$506,0))),"00")&amp;"-"&amp;TEXT(DAY(INDEX('Content calendar'!$A$7:$A$506,MATCH(17,'Content calendar'!$P$7:$P$506,0))),"00")&amp;" "&amp;TEXT(HOUR(INDEX('Content calendar'!$B$7:$B$506,MATCH(17,'Content calendar'!$P$7:$P$506,0))),"00")&amp;":"&amp;TEXT(MINUTE(INDEX('Content calendar'!$B$7:$B$506,MATCH(17,'Content calendar'!$P$7:$P$506,0))),"00"),"")</f>
        <v/>
      </c>
      <c r="C18" s="49">
        <f>IFERROR(INDEX('Content calendar'!$K$7:$K$506,MATCH(17,'Content calendar'!$P$7:$P$506,0))&amp;"","")</f>
        <v/>
      </c>
      <c r="D18" s="49">
        <f>IFERROR(INDEX('Content calendar'!$L$7:$L$506,MATCH(17,'Content calendar'!$P$7:$P$506,0))&amp;"","")</f>
        <v/>
      </c>
      <c r="E18" s="49">
        <f>IFERROR(INDEX('Content calendar'!$O$7:$O$506,MATCH(17,'Content calendar'!$P$7:$P$506,0))&amp;"","")</f>
        <v/>
      </c>
    </row>
    <row r="19">
      <c r="A19" s="49">
        <f>IFERROR(INDEX('Content calendar'!$H$7:$H$506,MATCH(18,'Content calendar'!$P$7:$P$506,0))&amp;"","")</f>
        <v/>
      </c>
      <c r="B19" s="49">
        <f>IFERROR(YEAR(INDEX('Content calendar'!$A$7:$A$506,MATCH(18,'Content calendar'!$P$7:$P$506,0)))&amp;"-"&amp;TEXT(MONTH(INDEX('Content calendar'!$A$7:$A$506,MATCH(18,'Content calendar'!$P$7:$P$506,0))),"00")&amp;"-"&amp;TEXT(DAY(INDEX('Content calendar'!$A$7:$A$506,MATCH(18,'Content calendar'!$P$7:$P$506,0))),"00")&amp;" "&amp;TEXT(HOUR(INDEX('Content calendar'!$B$7:$B$506,MATCH(18,'Content calendar'!$P$7:$P$506,0))),"00")&amp;":"&amp;TEXT(MINUTE(INDEX('Content calendar'!$B$7:$B$506,MATCH(18,'Content calendar'!$P$7:$P$506,0))),"00"),"")</f>
        <v/>
      </c>
      <c r="C19" s="49">
        <f>IFERROR(INDEX('Content calendar'!$K$7:$K$506,MATCH(18,'Content calendar'!$P$7:$P$506,0))&amp;"","")</f>
        <v/>
      </c>
      <c r="D19" s="49">
        <f>IFERROR(INDEX('Content calendar'!$L$7:$L$506,MATCH(18,'Content calendar'!$P$7:$P$506,0))&amp;"","")</f>
        <v/>
      </c>
      <c r="E19" s="49">
        <f>IFERROR(INDEX('Content calendar'!$O$7:$O$506,MATCH(18,'Content calendar'!$P$7:$P$506,0))&amp;"","")</f>
        <v/>
      </c>
    </row>
    <row r="20">
      <c r="A20" s="49">
        <f>IFERROR(INDEX('Content calendar'!$H$7:$H$506,MATCH(19,'Content calendar'!$P$7:$P$506,0))&amp;"","")</f>
        <v/>
      </c>
      <c r="B20" s="49">
        <f>IFERROR(YEAR(INDEX('Content calendar'!$A$7:$A$506,MATCH(19,'Content calendar'!$P$7:$P$506,0)))&amp;"-"&amp;TEXT(MONTH(INDEX('Content calendar'!$A$7:$A$506,MATCH(19,'Content calendar'!$P$7:$P$506,0))),"00")&amp;"-"&amp;TEXT(DAY(INDEX('Content calendar'!$A$7:$A$506,MATCH(19,'Content calendar'!$P$7:$P$506,0))),"00")&amp;" "&amp;TEXT(HOUR(INDEX('Content calendar'!$B$7:$B$506,MATCH(19,'Content calendar'!$P$7:$P$506,0))),"00")&amp;":"&amp;TEXT(MINUTE(INDEX('Content calendar'!$B$7:$B$506,MATCH(19,'Content calendar'!$P$7:$P$506,0))),"00"),"")</f>
        <v/>
      </c>
      <c r="C20" s="49">
        <f>IFERROR(INDEX('Content calendar'!$K$7:$K$506,MATCH(19,'Content calendar'!$P$7:$P$506,0))&amp;"","")</f>
        <v/>
      </c>
      <c r="D20" s="49">
        <f>IFERROR(INDEX('Content calendar'!$L$7:$L$506,MATCH(19,'Content calendar'!$P$7:$P$506,0))&amp;"","")</f>
        <v/>
      </c>
      <c r="E20" s="49">
        <f>IFERROR(INDEX('Content calendar'!$O$7:$O$506,MATCH(19,'Content calendar'!$P$7:$P$506,0))&amp;"","")</f>
        <v/>
      </c>
    </row>
    <row r="21">
      <c r="A21" s="49">
        <f>IFERROR(INDEX('Content calendar'!$H$7:$H$506,MATCH(20,'Content calendar'!$P$7:$P$506,0))&amp;"","")</f>
        <v/>
      </c>
      <c r="B21" s="49">
        <f>IFERROR(YEAR(INDEX('Content calendar'!$A$7:$A$506,MATCH(20,'Content calendar'!$P$7:$P$506,0)))&amp;"-"&amp;TEXT(MONTH(INDEX('Content calendar'!$A$7:$A$506,MATCH(20,'Content calendar'!$P$7:$P$506,0))),"00")&amp;"-"&amp;TEXT(DAY(INDEX('Content calendar'!$A$7:$A$506,MATCH(20,'Content calendar'!$P$7:$P$506,0))),"00")&amp;" "&amp;TEXT(HOUR(INDEX('Content calendar'!$B$7:$B$506,MATCH(20,'Content calendar'!$P$7:$P$506,0))),"00")&amp;":"&amp;TEXT(MINUTE(INDEX('Content calendar'!$B$7:$B$506,MATCH(20,'Content calendar'!$P$7:$P$506,0))),"00"),"")</f>
        <v/>
      </c>
      <c r="C21" s="49">
        <f>IFERROR(INDEX('Content calendar'!$K$7:$K$506,MATCH(20,'Content calendar'!$P$7:$P$506,0))&amp;"","")</f>
        <v/>
      </c>
      <c r="D21" s="49">
        <f>IFERROR(INDEX('Content calendar'!$L$7:$L$506,MATCH(20,'Content calendar'!$P$7:$P$506,0))&amp;"","")</f>
        <v/>
      </c>
      <c r="E21" s="49">
        <f>IFERROR(INDEX('Content calendar'!$O$7:$O$506,MATCH(20,'Content calendar'!$P$7:$P$506,0))&amp;"","")</f>
        <v/>
      </c>
    </row>
    <row r="22">
      <c r="A22" s="49">
        <f>IFERROR(INDEX('Content calendar'!$H$7:$H$506,MATCH(21,'Content calendar'!$P$7:$P$506,0))&amp;"","")</f>
        <v/>
      </c>
      <c r="B22" s="49">
        <f>IFERROR(YEAR(INDEX('Content calendar'!$A$7:$A$506,MATCH(21,'Content calendar'!$P$7:$P$506,0)))&amp;"-"&amp;TEXT(MONTH(INDEX('Content calendar'!$A$7:$A$506,MATCH(21,'Content calendar'!$P$7:$P$506,0))),"00")&amp;"-"&amp;TEXT(DAY(INDEX('Content calendar'!$A$7:$A$506,MATCH(21,'Content calendar'!$P$7:$P$506,0))),"00")&amp;" "&amp;TEXT(HOUR(INDEX('Content calendar'!$B$7:$B$506,MATCH(21,'Content calendar'!$P$7:$P$506,0))),"00")&amp;":"&amp;TEXT(MINUTE(INDEX('Content calendar'!$B$7:$B$506,MATCH(21,'Content calendar'!$P$7:$P$506,0))),"00"),"")</f>
        <v/>
      </c>
      <c r="C22" s="49">
        <f>IFERROR(INDEX('Content calendar'!$K$7:$K$506,MATCH(21,'Content calendar'!$P$7:$P$506,0))&amp;"","")</f>
        <v/>
      </c>
      <c r="D22" s="49">
        <f>IFERROR(INDEX('Content calendar'!$L$7:$L$506,MATCH(21,'Content calendar'!$P$7:$P$506,0))&amp;"","")</f>
        <v/>
      </c>
      <c r="E22" s="49">
        <f>IFERROR(INDEX('Content calendar'!$O$7:$O$506,MATCH(21,'Content calendar'!$P$7:$P$506,0))&amp;"","")</f>
        <v/>
      </c>
    </row>
    <row r="23">
      <c r="A23" s="49">
        <f>IFERROR(INDEX('Content calendar'!$H$7:$H$506,MATCH(22,'Content calendar'!$P$7:$P$506,0))&amp;"","")</f>
        <v/>
      </c>
      <c r="B23" s="49">
        <f>IFERROR(YEAR(INDEX('Content calendar'!$A$7:$A$506,MATCH(22,'Content calendar'!$P$7:$P$506,0)))&amp;"-"&amp;TEXT(MONTH(INDEX('Content calendar'!$A$7:$A$506,MATCH(22,'Content calendar'!$P$7:$P$506,0))),"00")&amp;"-"&amp;TEXT(DAY(INDEX('Content calendar'!$A$7:$A$506,MATCH(22,'Content calendar'!$P$7:$P$506,0))),"00")&amp;" "&amp;TEXT(HOUR(INDEX('Content calendar'!$B$7:$B$506,MATCH(22,'Content calendar'!$P$7:$P$506,0))),"00")&amp;":"&amp;TEXT(MINUTE(INDEX('Content calendar'!$B$7:$B$506,MATCH(22,'Content calendar'!$P$7:$P$506,0))),"00"),"")</f>
        <v/>
      </c>
      <c r="C23" s="49">
        <f>IFERROR(INDEX('Content calendar'!$K$7:$K$506,MATCH(22,'Content calendar'!$P$7:$P$506,0))&amp;"","")</f>
        <v/>
      </c>
      <c r="D23" s="49">
        <f>IFERROR(INDEX('Content calendar'!$L$7:$L$506,MATCH(22,'Content calendar'!$P$7:$P$506,0))&amp;"","")</f>
        <v/>
      </c>
      <c r="E23" s="49">
        <f>IFERROR(INDEX('Content calendar'!$O$7:$O$506,MATCH(22,'Content calendar'!$P$7:$P$506,0))&amp;"","")</f>
        <v/>
      </c>
    </row>
    <row r="24">
      <c r="A24" s="49">
        <f>IFERROR(INDEX('Content calendar'!$H$7:$H$506,MATCH(23,'Content calendar'!$P$7:$P$506,0))&amp;"","")</f>
        <v/>
      </c>
      <c r="B24" s="49">
        <f>IFERROR(YEAR(INDEX('Content calendar'!$A$7:$A$506,MATCH(23,'Content calendar'!$P$7:$P$506,0)))&amp;"-"&amp;TEXT(MONTH(INDEX('Content calendar'!$A$7:$A$506,MATCH(23,'Content calendar'!$P$7:$P$506,0))),"00")&amp;"-"&amp;TEXT(DAY(INDEX('Content calendar'!$A$7:$A$506,MATCH(23,'Content calendar'!$P$7:$P$506,0))),"00")&amp;" "&amp;TEXT(HOUR(INDEX('Content calendar'!$B$7:$B$506,MATCH(23,'Content calendar'!$P$7:$P$506,0))),"00")&amp;":"&amp;TEXT(MINUTE(INDEX('Content calendar'!$B$7:$B$506,MATCH(23,'Content calendar'!$P$7:$P$506,0))),"00"),"")</f>
        <v/>
      </c>
      <c r="C24" s="49">
        <f>IFERROR(INDEX('Content calendar'!$K$7:$K$506,MATCH(23,'Content calendar'!$P$7:$P$506,0))&amp;"","")</f>
        <v/>
      </c>
      <c r="D24" s="49">
        <f>IFERROR(INDEX('Content calendar'!$L$7:$L$506,MATCH(23,'Content calendar'!$P$7:$P$506,0))&amp;"","")</f>
        <v/>
      </c>
      <c r="E24" s="49">
        <f>IFERROR(INDEX('Content calendar'!$O$7:$O$506,MATCH(23,'Content calendar'!$P$7:$P$506,0))&amp;"","")</f>
        <v/>
      </c>
    </row>
    <row r="25">
      <c r="A25" s="49">
        <f>IFERROR(INDEX('Content calendar'!$H$7:$H$506,MATCH(24,'Content calendar'!$P$7:$P$506,0))&amp;"","")</f>
        <v/>
      </c>
      <c r="B25" s="49">
        <f>IFERROR(YEAR(INDEX('Content calendar'!$A$7:$A$506,MATCH(24,'Content calendar'!$P$7:$P$506,0)))&amp;"-"&amp;TEXT(MONTH(INDEX('Content calendar'!$A$7:$A$506,MATCH(24,'Content calendar'!$P$7:$P$506,0))),"00")&amp;"-"&amp;TEXT(DAY(INDEX('Content calendar'!$A$7:$A$506,MATCH(24,'Content calendar'!$P$7:$P$506,0))),"00")&amp;" "&amp;TEXT(HOUR(INDEX('Content calendar'!$B$7:$B$506,MATCH(24,'Content calendar'!$P$7:$P$506,0))),"00")&amp;":"&amp;TEXT(MINUTE(INDEX('Content calendar'!$B$7:$B$506,MATCH(24,'Content calendar'!$P$7:$P$506,0))),"00"),"")</f>
        <v/>
      </c>
      <c r="C25" s="49">
        <f>IFERROR(INDEX('Content calendar'!$K$7:$K$506,MATCH(24,'Content calendar'!$P$7:$P$506,0))&amp;"","")</f>
        <v/>
      </c>
      <c r="D25" s="49">
        <f>IFERROR(INDEX('Content calendar'!$L$7:$L$506,MATCH(24,'Content calendar'!$P$7:$P$506,0))&amp;"","")</f>
        <v/>
      </c>
      <c r="E25" s="49">
        <f>IFERROR(INDEX('Content calendar'!$O$7:$O$506,MATCH(24,'Content calendar'!$P$7:$P$506,0))&amp;"","")</f>
        <v/>
      </c>
    </row>
    <row r="26">
      <c r="A26" s="49">
        <f>IFERROR(INDEX('Content calendar'!$H$7:$H$506,MATCH(25,'Content calendar'!$P$7:$P$506,0))&amp;"","")</f>
        <v/>
      </c>
      <c r="B26" s="49">
        <f>IFERROR(YEAR(INDEX('Content calendar'!$A$7:$A$506,MATCH(25,'Content calendar'!$P$7:$P$506,0)))&amp;"-"&amp;TEXT(MONTH(INDEX('Content calendar'!$A$7:$A$506,MATCH(25,'Content calendar'!$P$7:$P$506,0))),"00")&amp;"-"&amp;TEXT(DAY(INDEX('Content calendar'!$A$7:$A$506,MATCH(25,'Content calendar'!$P$7:$P$506,0))),"00")&amp;" "&amp;TEXT(HOUR(INDEX('Content calendar'!$B$7:$B$506,MATCH(25,'Content calendar'!$P$7:$P$506,0))),"00")&amp;":"&amp;TEXT(MINUTE(INDEX('Content calendar'!$B$7:$B$506,MATCH(25,'Content calendar'!$P$7:$P$506,0))),"00"),"")</f>
        <v/>
      </c>
      <c r="C26" s="49">
        <f>IFERROR(INDEX('Content calendar'!$K$7:$K$506,MATCH(25,'Content calendar'!$P$7:$P$506,0))&amp;"","")</f>
        <v/>
      </c>
      <c r="D26" s="49">
        <f>IFERROR(INDEX('Content calendar'!$L$7:$L$506,MATCH(25,'Content calendar'!$P$7:$P$506,0))&amp;"","")</f>
        <v/>
      </c>
      <c r="E26" s="49">
        <f>IFERROR(INDEX('Content calendar'!$O$7:$O$506,MATCH(25,'Content calendar'!$P$7:$P$506,0))&amp;"","")</f>
        <v/>
      </c>
    </row>
    <row r="27">
      <c r="A27" s="49">
        <f>IFERROR(INDEX('Content calendar'!$H$7:$H$506,MATCH(26,'Content calendar'!$P$7:$P$506,0))&amp;"","")</f>
        <v/>
      </c>
      <c r="B27" s="49">
        <f>IFERROR(YEAR(INDEX('Content calendar'!$A$7:$A$506,MATCH(26,'Content calendar'!$P$7:$P$506,0)))&amp;"-"&amp;TEXT(MONTH(INDEX('Content calendar'!$A$7:$A$506,MATCH(26,'Content calendar'!$P$7:$P$506,0))),"00")&amp;"-"&amp;TEXT(DAY(INDEX('Content calendar'!$A$7:$A$506,MATCH(26,'Content calendar'!$P$7:$P$506,0))),"00")&amp;" "&amp;TEXT(HOUR(INDEX('Content calendar'!$B$7:$B$506,MATCH(26,'Content calendar'!$P$7:$P$506,0))),"00")&amp;":"&amp;TEXT(MINUTE(INDEX('Content calendar'!$B$7:$B$506,MATCH(26,'Content calendar'!$P$7:$P$506,0))),"00"),"")</f>
        <v/>
      </c>
      <c r="C27" s="49">
        <f>IFERROR(INDEX('Content calendar'!$K$7:$K$506,MATCH(26,'Content calendar'!$P$7:$P$506,0))&amp;"","")</f>
        <v/>
      </c>
      <c r="D27" s="49">
        <f>IFERROR(INDEX('Content calendar'!$L$7:$L$506,MATCH(26,'Content calendar'!$P$7:$P$506,0))&amp;"","")</f>
        <v/>
      </c>
      <c r="E27" s="49">
        <f>IFERROR(INDEX('Content calendar'!$O$7:$O$506,MATCH(26,'Content calendar'!$P$7:$P$506,0))&amp;"","")</f>
        <v/>
      </c>
    </row>
    <row r="28">
      <c r="A28" s="49">
        <f>IFERROR(INDEX('Content calendar'!$H$7:$H$506,MATCH(27,'Content calendar'!$P$7:$P$506,0))&amp;"","")</f>
        <v/>
      </c>
      <c r="B28" s="49">
        <f>IFERROR(YEAR(INDEX('Content calendar'!$A$7:$A$506,MATCH(27,'Content calendar'!$P$7:$P$506,0)))&amp;"-"&amp;TEXT(MONTH(INDEX('Content calendar'!$A$7:$A$506,MATCH(27,'Content calendar'!$P$7:$P$506,0))),"00")&amp;"-"&amp;TEXT(DAY(INDEX('Content calendar'!$A$7:$A$506,MATCH(27,'Content calendar'!$P$7:$P$506,0))),"00")&amp;" "&amp;TEXT(HOUR(INDEX('Content calendar'!$B$7:$B$506,MATCH(27,'Content calendar'!$P$7:$P$506,0))),"00")&amp;":"&amp;TEXT(MINUTE(INDEX('Content calendar'!$B$7:$B$506,MATCH(27,'Content calendar'!$P$7:$P$506,0))),"00"),"")</f>
        <v/>
      </c>
      <c r="C28" s="49">
        <f>IFERROR(INDEX('Content calendar'!$K$7:$K$506,MATCH(27,'Content calendar'!$P$7:$P$506,0))&amp;"","")</f>
        <v/>
      </c>
      <c r="D28" s="49">
        <f>IFERROR(INDEX('Content calendar'!$L$7:$L$506,MATCH(27,'Content calendar'!$P$7:$P$506,0))&amp;"","")</f>
        <v/>
      </c>
      <c r="E28" s="49">
        <f>IFERROR(INDEX('Content calendar'!$O$7:$O$506,MATCH(27,'Content calendar'!$P$7:$P$506,0))&amp;"","")</f>
        <v/>
      </c>
    </row>
    <row r="29">
      <c r="A29" s="49">
        <f>IFERROR(INDEX('Content calendar'!$H$7:$H$506,MATCH(28,'Content calendar'!$P$7:$P$506,0))&amp;"","")</f>
        <v/>
      </c>
      <c r="B29" s="49">
        <f>IFERROR(YEAR(INDEX('Content calendar'!$A$7:$A$506,MATCH(28,'Content calendar'!$P$7:$P$506,0)))&amp;"-"&amp;TEXT(MONTH(INDEX('Content calendar'!$A$7:$A$506,MATCH(28,'Content calendar'!$P$7:$P$506,0))),"00")&amp;"-"&amp;TEXT(DAY(INDEX('Content calendar'!$A$7:$A$506,MATCH(28,'Content calendar'!$P$7:$P$506,0))),"00")&amp;" "&amp;TEXT(HOUR(INDEX('Content calendar'!$B$7:$B$506,MATCH(28,'Content calendar'!$P$7:$P$506,0))),"00")&amp;":"&amp;TEXT(MINUTE(INDEX('Content calendar'!$B$7:$B$506,MATCH(28,'Content calendar'!$P$7:$P$506,0))),"00"),"")</f>
        <v/>
      </c>
      <c r="C29" s="49">
        <f>IFERROR(INDEX('Content calendar'!$K$7:$K$506,MATCH(28,'Content calendar'!$P$7:$P$506,0))&amp;"","")</f>
        <v/>
      </c>
      <c r="D29" s="49">
        <f>IFERROR(INDEX('Content calendar'!$L$7:$L$506,MATCH(28,'Content calendar'!$P$7:$P$506,0))&amp;"","")</f>
        <v/>
      </c>
      <c r="E29" s="49">
        <f>IFERROR(INDEX('Content calendar'!$O$7:$O$506,MATCH(28,'Content calendar'!$P$7:$P$506,0))&amp;"","")</f>
        <v/>
      </c>
    </row>
    <row r="30">
      <c r="A30" s="49">
        <f>IFERROR(INDEX('Content calendar'!$H$7:$H$506,MATCH(29,'Content calendar'!$P$7:$P$506,0))&amp;"","")</f>
        <v/>
      </c>
      <c r="B30" s="49">
        <f>IFERROR(YEAR(INDEX('Content calendar'!$A$7:$A$506,MATCH(29,'Content calendar'!$P$7:$P$506,0)))&amp;"-"&amp;TEXT(MONTH(INDEX('Content calendar'!$A$7:$A$506,MATCH(29,'Content calendar'!$P$7:$P$506,0))),"00")&amp;"-"&amp;TEXT(DAY(INDEX('Content calendar'!$A$7:$A$506,MATCH(29,'Content calendar'!$P$7:$P$506,0))),"00")&amp;" "&amp;TEXT(HOUR(INDEX('Content calendar'!$B$7:$B$506,MATCH(29,'Content calendar'!$P$7:$P$506,0))),"00")&amp;":"&amp;TEXT(MINUTE(INDEX('Content calendar'!$B$7:$B$506,MATCH(29,'Content calendar'!$P$7:$P$506,0))),"00"),"")</f>
        <v/>
      </c>
      <c r="C30" s="49">
        <f>IFERROR(INDEX('Content calendar'!$K$7:$K$506,MATCH(29,'Content calendar'!$P$7:$P$506,0))&amp;"","")</f>
        <v/>
      </c>
      <c r="D30" s="49">
        <f>IFERROR(INDEX('Content calendar'!$L$7:$L$506,MATCH(29,'Content calendar'!$P$7:$P$506,0))&amp;"","")</f>
        <v/>
      </c>
      <c r="E30" s="49">
        <f>IFERROR(INDEX('Content calendar'!$O$7:$O$506,MATCH(29,'Content calendar'!$P$7:$P$506,0))&amp;"","")</f>
        <v/>
      </c>
    </row>
    <row r="31">
      <c r="A31" s="49">
        <f>IFERROR(INDEX('Content calendar'!$H$7:$H$506,MATCH(30,'Content calendar'!$P$7:$P$506,0))&amp;"","")</f>
        <v/>
      </c>
      <c r="B31" s="49">
        <f>IFERROR(YEAR(INDEX('Content calendar'!$A$7:$A$506,MATCH(30,'Content calendar'!$P$7:$P$506,0)))&amp;"-"&amp;TEXT(MONTH(INDEX('Content calendar'!$A$7:$A$506,MATCH(30,'Content calendar'!$P$7:$P$506,0))),"00")&amp;"-"&amp;TEXT(DAY(INDEX('Content calendar'!$A$7:$A$506,MATCH(30,'Content calendar'!$P$7:$P$506,0))),"00")&amp;" "&amp;TEXT(HOUR(INDEX('Content calendar'!$B$7:$B$506,MATCH(30,'Content calendar'!$P$7:$P$506,0))),"00")&amp;":"&amp;TEXT(MINUTE(INDEX('Content calendar'!$B$7:$B$506,MATCH(30,'Content calendar'!$P$7:$P$506,0))),"00"),"")</f>
        <v/>
      </c>
      <c r="C31" s="49">
        <f>IFERROR(INDEX('Content calendar'!$K$7:$K$506,MATCH(30,'Content calendar'!$P$7:$P$506,0))&amp;"","")</f>
        <v/>
      </c>
      <c r="D31" s="49">
        <f>IFERROR(INDEX('Content calendar'!$L$7:$L$506,MATCH(30,'Content calendar'!$P$7:$P$506,0))&amp;"","")</f>
        <v/>
      </c>
      <c r="E31" s="49">
        <f>IFERROR(INDEX('Content calendar'!$O$7:$O$506,MATCH(30,'Content calendar'!$P$7:$P$506,0))&amp;"","")</f>
        <v/>
      </c>
    </row>
    <row r="32">
      <c r="A32" s="49">
        <f>IFERROR(INDEX('Content calendar'!$H$7:$H$506,MATCH(31,'Content calendar'!$P$7:$P$506,0))&amp;"","")</f>
        <v/>
      </c>
      <c r="B32" s="49">
        <f>IFERROR(YEAR(INDEX('Content calendar'!$A$7:$A$506,MATCH(31,'Content calendar'!$P$7:$P$506,0)))&amp;"-"&amp;TEXT(MONTH(INDEX('Content calendar'!$A$7:$A$506,MATCH(31,'Content calendar'!$P$7:$P$506,0))),"00")&amp;"-"&amp;TEXT(DAY(INDEX('Content calendar'!$A$7:$A$506,MATCH(31,'Content calendar'!$P$7:$P$506,0))),"00")&amp;" "&amp;TEXT(HOUR(INDEX('Content calendar'!$B$7:$B$506,MATCH(31,'Content calendar'!$P$7:$P$506,0))),"00")&amp;":"&amp;TEXT(MINUTE(INDEX('Content calendar'!$B$7:$B$506,MATCH(31,'Content calendar'!$P$7:$P$506,0))),"00"),"")</f>
        <v/>
      </c>
      <c r="C32" s="49">
        <f>IFERROR(INDEX('Content calendar'!$K$7:$K$506,MATCH(31,'Content calendar'!$P$7:$P$506,0))&amp;"","")</f>
        <v/>
      </c>
      <c r="D32" s="49">
        <f>IFERROR(INDEX('Content calendar'!$L$7:$L$506,MATCH(31,'Content calendar'!$P$7:$P$506,0))&amp;"","")</f>
        <v/>
      </c>
      <c r="E32" s="49">
        <f>IFERROR(INDEX('Content calendar'!$O$7:$O$506,MATCH(31,'Content calendar'!$P$7:$P$506,0))&amp;"","")</f>
        <v/>
      </c>
    </row>
    <row r="33">
      <c r="A33" s="49">
        <f>IFERROR(INDEX('Content calendar'!$H$7:$H$506,MATCH(32,'Content calendar'!$P$7:$P$506,0))&amp;"","")</f>
        <v/>
      </c>
      <c r="B33" s="49">
        <f>IFERROR(YEAR(INDEX('Content calendar'!$A$7:$A$506,MATCH(32,'Content calendar'!$P$7:$P$506,0)))&amp;"-"&amp;TEXT(MONTH(INDEX('Content calendar'!$A$7:$A$506,MATCH(32,'Content calendar'!$P$7:$P$506,0))),"00")&amp;"-"&amp;TEXT(DAY(INDEX('Content calendar'!$A$7:$A$506,MATCH(32,'Content calendar'!$P$7:$P$506,0))),"00")&amp;" "&amp;TEXT(HOUR(INDEX('Content calendar'!$B$7:$B$506,MATCH(32,'Content calendar'!$P$7:$P$506,0))),"00")&amp;":"&amp;TEXT(MINUTE(INDEX('Content calendar'!$B$7:$B$506,MATCH(32,'Content calendar'!$P$7:$P$506,0))),"00"),"")</f>
        <v/>
      </c>
      <c r="C33" s="49">
        <f>IFERROR(INDEX('Content calendar'!$K$7:$K$506,MATCH(32,'Content calendar'!$P$7:$P$506,0))&amp;"","")</f>
        <v/>
      </c>
      <c r="D33" s="49">
        <f>IFERROR(INDEX('Content calendar'!$L$7:$L$506,MATCH(32,'Content calendar'!$P$7:$P$506,0))&amp;"","")</f>
        <v/>
      </c>
      <c r="E33" s="49">
        <f>IFERROR(INDEX('Content calendar'!$O$7:$O$506,MATCH(32,'Content calendar'!$P$7:$P$506,0))&amp;"","")</f>
        <v/>
      </c>
    </row>
    <row r="34">
      <c r="A34" s="49">
        <f>IFERROR(INDEX('Content calendar'!$H$7:$H$506,MATCH(33,'Content calendar'!$P$7:$P$506,0))&amp;"","")</f>
        <v/>
      </c>
      <c r="B34" s="49">
        <f>IFERROR(YEAR(INDEX('Content calendar'!$A$7:$A$506,MATCH(33,'Content calendar'!$P$7:$P$506,0)))&amp;"-"&amp;TEXT(MONTH(INDEX('Content calendar'!$A$7:$A$506,MATCH(33,'Content calendar'!$P$7:$P$506,0))),"00")&amp;"-"&amp;TEXT(DAY(INDEX('Content calendar'!$A$7:$A$506,MATCH(33,'Content calendar'!$P$7:$P$506,0))),"00")&amp;" "&amp;TEXT(HOUR(INDEX('Content calendar'!$B$7:$B$506,MATCH(33,'Content calendar'!$P$7:$P$506,0))),"00")&amp;":"&amp;TEXT(MINUTE(INDEX('Content calendar'!$B$7:$B$506,MATCH(33,'Content calendar'!$P$7:$P$506,0))),"00"),"")</f>
        <v/>
      </c>
      <c r="C34" s="49">
        <f>IFERROR(INDEX('Content calendar'!$K$7:$K$506,MATCH(33,'Content calendar'!$P$7:$P$506,0))&amp;"","")</f>
        <v/>
      </c>
      <c r="D34" s="49">
        <f>IFERROR(INDEX('Content calendar'!$L$7:$L$506,MATCH(33,'Content calendar'!$P$7:$P$506,0))&amp;"","")</f>
        <v/>
      </c>
      <c r="E34" s="49">
        <f>IFERROR(INDEX('Content calendar'!$O$7:$O$506,MATCH(33,'Content calendar'!$P$7:$P$506,0))&amp;"","")</f>
        <v/>
      </c>
    </row>
    <row r="35">
      <c r="A35" s="49">
        <f>IFERROR(INDEX('Content calendar'!$H$7:$H$506,MATCH(34,'Content calendar'!$P$7:$P$506,0))&amp;"","")</f>
        <v/>
      </c>
      <c r="B35" s="49">
        <f>IFERROR(YEAR(INDEX('Content calendar'!$A$7:$A$506,MATCH(34,'Content calendar'!$P$7:$P$506,0)))&amp;"-"&amp;TEXT(MONTH(INDEX('Content calendar'!$A$7:$A$506,MATCH(34,'Content calendar'!$P$7:$P$506,0))),"00")&amp;"-"&amp;TEXT(DAY(INDEX('Content calendar'!$A$7:$A$506,MATCH(34,'Content calendar'!$P$7:$P$506,0))),"00")&amp;" "&amp;TEXT(HOUR(INDEX('Content calendar'!$B$7:$B$506,MATCH(34,'Content calendar'!$P$7:$P$506,0))),"00")&amp;":"&amp;TEXT(MINUTE(INDEX('Content calendar'!$B$7:$B$506,MATCH(34,'Content calendar'!$P$7:$P$506,0))),"00"),"")</f>
        <v/>
      </c>
      <c r="C35" s="49">
        <f>IFERROR(INDEX('Content calendar'!$K$7:$K$506,MATCH(34,'Content calendar'!$P$7:$P$506,0))&amp;"","")</f>
        <v/>
      </c>
      <c r="D35" s="49">
        <f>IFERROR(INDEX('Content calendar'!$L$7:$L$506,MATCH(34,'Content calendar'!$P$7:$P$506,0))&amp;"","")</f>
        <v/>
      </c>
      <c r="E35" s="49">
        <f>IFERROR(INDEX('Content calendar'!$O$7:$O$506,MATCH(34,'Content calendar'!$P$7:$P$506,0))&amp;"","")</f>
        <v/>
      </c>
    </row>
    <row r="36">
      <c r="A36" s="49">
        <f>IFERROR(INDEX('Content calendar'!$H$7:$H$506,MATCH(35,'Content calendar'!$P$7:$P$506,0))&amp;"","")</f>
        <v/>
      </c>
      <c r="B36" s="49">
        <f>IFERROR(YEAR(INDEX('Content calendar'!$A$7:$A$506,MATCH(35,'Content calendar'!$P$7:$P$506,0)))&amp;"-"&amp;TEXT(MONTH(INDEX('Content calendar'!$A$7:$A$506,MATCH(35,'Content calendar'!$P$7:$P$506,0))),"00")&amp;"-"&amp;TEXT(DAY(INDEX('Content calendar'!$A$7:$A$506,MATCH(35,'Content calendar'!$P$7:$P$506,0))),"00")&amp;" "&amp;TEXT(HOUR(INDEX('Content calendar'!$B$7:$B$506,MATCH(35,'Content calendar'!$P$7:$P$506,0))),"00")&amp;":"&amp;TEXT(MINUTE(INDEX('Content calendar'!$B$7:$B$506,MATCH(35,'Content calendar'!$P$7:$P$506,0))),"00"),"")</f>
        <v/>
      </c>
      <c r="C36" s="49">
        <f>IFERROR(INDEX('Content calendar'!$K$7:$K$506,MATCH(35,'Content calendar'!$P$7:$P$506,0))&amp;"","")</f>
        <v/>
      </c>
      <c r="D36" s="49">
        <f>IFERROR(INDEX('Content calendar'!$L$7:$L$506,MATCH(35,'Content calendar'!$P$7:$P$506,0))&amp;"","")</f>
        <v/>
      </c>
      <c r="E36" s="49">
        <f>IFERROR(INDEX('Content calendar'!$O$7:$O$506,MATCH(35,'Content calendar'!$P$7:$P$506,0))&amp;"","")</f>
        <v/>
      </c>
    </row>
    <row r="37">
      <c r="A37" s="49">
        <f>IFERROR(INDEX('Content calendar'!$H$7:$H$506,MATCH(36,'Content calendar'!$P$7:$P$506,0))&amp;"","")</f>
        <v/>
      </c>
      <c r="B37" s="49">
        <f>IFERROR(YEAR(INDEX('Content calendar'!$A$7:$A$506,MATCH(36,'Content calendar'!$P$7:$P$506,0)))&amp;"-"&amp;TEXT(MONTH(INDEX('Content calendar'!$A$7:$A$506,MATCH(36,'Content calendar'!$P$7:$P$506,0))),"00")&amp;"-"&amp;TEXT(DAY(INDEX('Content calendar'!$A$7:$A$506,MATCH(36,'Content calendar'!$P$7:$P$506,0))),"00")&amp;" "&amp;TEXT(HOUR(INDEX('Content calendar'!$B$7:$B$506,MATCH(36,'Content calendar'!$P$7:$P$506,0))),"00")&amp;":"&amp;TEXT(MINUTE(INDEX('Content calendar'!$B$7:$B$506,MATCH(36,'Content calendar'!$P$7:$P$506,0))),"00"),"")</f>
        <v/>
      </c>
      <c r="C37" s="49">
        <f>IFERROR(INDEX('Content calendar'!$K$7:$K$506,MATCH(36,'Content calendar'!$P$7:$P$506,0))&amp;"","")</f>
        <v/>
      </c>
      <c r="D37" s="49">
        <f>IFERROR(INDEX('Content calendar'!$L$7:$L$506,MATCH(36,'Content calendar'!$P$7:$P$506,0))&amp;"","")</f>
        <v/>
      </c>
      <c r="E37" s="49">
        <f>IFERROR(INDEX('Content calendar'!$O$7:$O$506,MATCH(36,'Content calendar'!$P$7:$P$506,0))&amp;"","")</f>
        <v/>
      </c>
    </row>
    <row r="38">
      <c r="A38" s="49">
        <f>IFERROR(INDEX('Content calendar'!$H$7:$H$506,MATCH(37,'Content calendar'!$P$7:$P$506,0))&amp;"","")</f>
        <v/>
      </c>
      <c r="B38" s="49">
        <f>IFERROR(YEAR(INDEX('Content calendar'!$A$7:$A$506,MATCH(37,'Content calendar'!$P$7:$P$506,0)))&amp;"-"&amp;TEXT(MONTH(INDEX('Content calendar'!$A$7:$A$506,MATCH(37,'Content calendar'!$P$7:$P$506,0))),"00")&amp;"-"&amp;TEXT(DAY(INDEX('Content calendar'!$A$7:$A$506,MATCH(37,'Content calendar'!$P$7:$P$506,0))),"00")&amp;" "&amp;TEXT(HOUR(INDEX('Content calendar'!$B$7:$B$506,MATCH(37,'Content calendar'!$P$7:$P$506,0))),"00")&amp;":"&amp;TEXT(MINUTE(INDEX('Content calendar'!$B$7:$B$506,MATCH(37,'Content calendar'!$P$7:$P$506,0))),"00"),"")</f>
        <v/>
      </c>
      <c r="C38" s="49">
        <f>IFERROR(INDEX('Content calendar'!$K$7:$K$506,MATCH(37,'Content calendar'!$P$7:$P$506,0))&amp;"","")</f>
        <v/>
      </c>
      <c r="D38" s="49">
        <f>IFERROR(INDEX('Content calendar'!$L$7:$L$506,MATCH(37,'Content calendar'!$P$7:$P$506,0))&amp;"","")</f>
        <v/>
      </c>
      <c r="E38" s="49">
        <f>IFERROR(INDEX('Content calendar'!$O$7:$O$506,MATCH(37,'Content calendar'!$P$7:$P$506,0))&amp;"","")</f>
        <v/>
      </c>
    </row>
    <row r="39">
      <c r="A39" s="49">
        <f>IFERROR(INDEX('Content calendar'!$H$7:$H$506,MATCH(38,'Content calendar'!$P$7:$P$506,0))&amp;"","")</f>
        <v/>
      </c>
      <c r="B39" s="49">
        <f>IFERROR(YEAR(INDEX('Content calendar'!$A$7:$A$506,MATCH(38,'Content calendar'!$P$7:$P$506,0)))&amp;"-"&amp;TEXT(MONTH(INDEX('Content calendar'!$A$7:$A$506,MATCH(38,'Content calendar'!$P$7:$P$506,0))),"00")&amp;"-"&amp;TEXT(DAY(INDEX('Content calendar'!$A$7:$A$506,MATCH(38,'Content calendar'!$P$7:$P$506,0))),"00")&amp;" "&amp;TEXT(HOUR(INDEX('Content calendar'!$B$7:$B$506,MATCH(38,'Content calendar'!$P$7:$P$506,0))),"00")&amp;":"&amp;TEXT(MINUTE(INDEX('Content calendar'!$B$7:$B$506,MATCH(38,'Content calendar'!$P$7:$P$506,0))),"00"),"")</f>
        <v/>
      </c>
      <c r="C39" s="49">
        <f>IFERROR(INDEX('Content calendar'!$K$7:$K$506,MATCH(38,'Content calendar'!$P$7:$P$506,0))&amp;"","")</f>
        <v/>
      </c>
      <c r="D39" s="49">
        <f>IFERROR(INDEX('Content calendar'!$L$7:$L$506,MATCH(38,'Content calendar'!$P$7:$P$506,0))&amp;"","")</f>
        <v/>
      </c>
      <c r="E39" s="49">
        <f>IFERROR(INDEX('Content calendar'!$O$7:$O$506,MATCH(38,'Content calendar'!$P$7:$P$506,0))&amp;"","")</f>
        <v/>
      </c>
    </row>
    <row r="40">
      <c r="A40" s="49">
        <f>IFERROR(INDEX('Content calendar'!$H$7:$H$506,MATCH(39,'Content calendar'!$P$7:$P$506,0))&amp;"","")</f>
        <v/>
      </c>
      <c r="B40" s="49">
        <f>IFERROR(YEAR(INDEX('Content calendar'!$A$7:$A$506,MATCH(39,'Content calendar'!$P$7:$P$506,0)))&amp;"-"&amp;TEXT(MONTH(INDEX('Content calendar'!$A$7:$A$506,MATCH(39,'Content calendar'!$P$7:$P$506,0))),"00")&amp;"-"&amp;TEXT(DAY(INDEX('Content calendar'!$A$7:$A$506,MATCH(39,'Content calendar'!$P$7:$P$506,0))),"00")&amp;" "&amp;TEXT(HOUR(INDEX('Content calendar'!$B$7:$B$506,MATCH(39,'Content calendar'!$P$7:$P$506,0))),"00")&amp;":"&amp;TEXT(MINUTE(INDEX('Content calendar'!$B$7:$B$506,MATCH(39,'Content calendar'!$P$7:$P$506,0))),"00"),"")</f>
        <v/>
      </c>
      <c r="C40" s="49">
        <f>IFERROR(INDEX('Content calendar'!$K$7:$K$506,MATCH(39,'Content calendar'!$P$7:$P$506,0))&amp;"","")</f>
        <v/>
      </c>
      <c r="D40" s="49">
        <f>IFERROR(INDEX('Content calendar'!$L$7:$L$506,MATCH(39,'Content calendar'!$P$7:$P$506,0))&amp;"","")</f>
        <v/>
      </c>
      <c r="E40" s="49">
        <f>IFERROR(INDEX('Content calendar'!$O$7:$O$506,MATCH(39,'Content calendar'!$P$7:$P$506,0))&amp;"","")</f>
        <v/>
      </c>
    </row>
    <row r="41">
      <c r="A41" s="49">
        <f>IFERROR(INDEX('Content calendar'!$H$7:$H$506,MATCH(40,'Content calendar'!$P$7:$P$506,0))&amp;"","")</f>
        <v/>
      </c>
      <c r="B41" s="49">
        <f>IFERROR(YEAR(INDEX('Content calendar'!$A$7:$A$506,MATCH(40,'Content calendar'!$P$7:$P$506,0)))&amp;"-"&amp;TEXT(MONTH(INDEX('Content calendar'!$A$7:$A$506,MATCH(40,'Content calendar'!$P$7:$P$506,0))),"00")&amp;"-"&amp;TEXT(DAY(INDEX('Content calendar'!$A$7:$A$506,MATCH(40,'Content calendar'!$P$7:$P$506,0))),"00")&amp;" "&amp;TEXT(HOUR(INDEX('Content calendar'!$B$7:$B$506,MATCH(40,'Content calendar'!$P$7:$P$506,0))),"00")&amp;":"&amp;TEXT(MINUTE(INDEX('Content calendar'!$B$7:$B$506,MATCH(40,'Content calendar'!$P$7:$P$506,0))),"00"),"")</f>
        <v/>
      </c>
      <c r="C41" s="49">
        <f>IFERROR(INDEX('Content calendar'!$K$7:$K$506,MATCH(40,'Content calendar'!$P$7:$P$506,0))&amp;"","")</f>
        <v/>
      </c>
      <c r="D41" s="49">
        <f>IFERROR(INDEX('Content calendar'!$L$7:$L$506,MATCH(40,'Content calendar'!$P$7:$P$506,0))&amp;"","")</f>
        <v/>
      </c>
      <c r="E41" s="49">
        <f>IFERROR(INDEX('Content calendar'!$O$7:$O$506,MATCH(40,'Content calendar'!$P$7:$P$506,0))&amp;"","")</f>
        <v/>
      </c>
    </row>
    <row r="42">
      <c r="A42" s="49">
        <f>IFERROR(INDEX('Content calendar'!$H$7:$H$506,MATCH(41,'Content calendar'!$P$7:$P$506,0))&amp;"","")</f>
        <v/>
      </c>
      <c r="B42" s="49">
        <f>IFERROR(YEAR(INDEX('Content calendar'!$A$7:$A$506,MATCH(41,'Content calendar'!$P$7:$P$506,0)))&amp;"-"&amp;TEXT(MONTH(INDEX('Content calendar'!$A$7:$A$506,MATCH(41,'Content calendar'!$P$7:$P$506,0))),"00")&amp;"-"&amp;TEXT(DAY(INDEX('Content calendar'!$A$7:$A$506,MATCH(41,'Content calendar'!$P$7:$P$506,0))),"00")&amp;" "&amp;TEXT(HOUR(INDEX('Content calendar'!$B$7:$B$506,MATCH(41,'Content calendar'!$P$7:$P$506,0))),"00")&amp;":"&amp;TEXT(MINUTE(INDEX('Content calendar'!$B$7:$B$506,MATCH(41,'Content calendar'!$P$7:$P$506,0))),"00"),"")</f>
        <v/>
      </c>
      <c r="C42" s="49">
        <f>IFERROR(INDEX('Content calendar'!$K$7:$K$506,MATCH(41,'Content calendar'!$P$7:$P$506,0))&amp;"","")</f>
        <v/>
      </c>
      <c r="D42" s="49">
        <f>IFERROR(INDEX('Content calendar'!$L$7:$L$506,MATCH(41,'Content calendar'!$P$7:$P$506,0))&amp;"","")</f>
        <v/>
      </c>
      <c r="E42" s="49">
        <f>IFERROR(INDEX('Content calendar'!$O$7:$O$506,MATCH(41,'Content calendar'!$P$7:$P$506,0))&amp;"","")</f>
        <v/>
      </c>
    </row>
    <row r="43">
      <c r="A43" s="49">
        <f>IFERROR(INDEX('Content calendar'!$H$7:$H$506,MATCH(42,'Content calendar'!$P$7:$P$506,0))&amp;"","")</f>
        <v/>
      </c>
      <c r="B43" s="49">
        <f>IFERROR(YEAR(INDEX('Content calendar'!$A$7:$A$506,MATCH(42,'Content calendar'!$P$7:$P$506,0)))&amp;"-"&amp;TEXT(MONTH(INDEX('Content calendar'!$A$7:$A$506,MATCH(42,'Content calendar'!$P$7:$P$506,0))),"00")&amp;"-"&amp;TEXT(DAY(INDEX('Content calendar'!$A$7:$A$506,MATCH(42,'Content calendar'!$P$7:$P$506,0))),"00")&amp;" "&amp;TEXT(HOUR(INDEX('Content calendar'!$B$7:$B$506,MATCH(42,'Content calendar'!$P$7:$P$506,0))),"00")&amp;":"&amp;TEXT(MINUTE(INDEX('Content calendar'!$B$7:$B$506,MATCH(42,'Content calendar'!$P$7:$P$506,0))),"00"),"")</f>
        <v/>
      </c>
      <c r="C43" s="49">
        <f>IFERROR(INDEX('Content calendar'!$K$7:$K$506,MATCH(42,'Content calendar'!$P$7:$P$506,0))&amp;"","")</f>
        <v/>
      </c>
      <c r="D43" s="49">
        <f>IFERROR(INDEX('Content calendar'!$L$7:$L$506,MATCH(42,'Content calendar'!$P$7:$P$506,0))&amp;"","")</f>
        <v/>
      </c>
      <c r="E43" s="49">
        <f>IFERROR(INDEX('Content calendar'!$O$7:$O$506,MATCH(42,'Content calendar'!$P$7:$P$506,0))&amp;"","")</f>
        <v/>
      </c>
    </row>
    <row r="44">
      <c r="A44" s="49">
        <f>IFERROR(INDEX('Content calendar'!$H$7:$H$506,MATCH(43,'Content calendar'!$P$7:$P$506,0))&amp;"","")</f>
        <v/>
      </c>
      <c r="B44" s="49">
        <f>IFERROR(YEAR(INDEX('Content calendar'!$A$7:$A$506,MATCH(43,'Content calendar'!$P$7:$P$506,0)))&amp;"-"&amp;TEXT(MONTH(INDEX('Content calendar'!$A$7:$A$506,MATCH(43,'Content calendar'!$P$7:$P$506,0))),"00")&amp;"-"&amp;TEXT(DAY(INDEX('Content calendar'!$A$7:$A$506,MATCH(43,'Content calendar'!$P$7:$P$506,0))),"00")&amp;" "&amp;TEXT(HOUR(INDEX('Content calendar'!$B$7:$B$506,MATCH(43,'Content calendar'!$P$7:$P$506,0))),"00")&amp;":"&amp;TEXT(MINUTE(INDEX('Content calendar'!$B$7:$B$506,MATCH(43,'Content calendar'!$P$7:$P$506,0))),"00"),"")</f>
        <v/>
      </c>
      <c r="C44" s="49">
        <f>IFERROR(INDEX('Content calendar'!$K$7:$K$506,MATCH(43,'Content calendar'!$P$7:$P$506,0))&amp;"","")</f>
        <v/>
      </c>
      <c r="D44" s="49">
        <f>IFERROR(INDEX('Content calendar'!$L$7:$L$506,MATCH(43,'Content calendar'!$P$7:$P$506,0))&amp;"","")</f>
        <v/>
      </c>
      <c r="E44" s="49">
        <f>IFERROR(INDEX('Content calendar'!$O$7:$O$506,MATCH(43,'Content calendar'!$P$7:$P$506,0))&amp;"","")</f>
        <v/>
      </c>
    </row>
    <row r="45">
      <c r="A45" s="49">
        <f>IFERROR(INDEX('Content calendar'!$H$7:$H$506,MATCH(44,'Content calendar'!$P$7:$P$506,0))&amp;"","")</f>
        <v/>
      </c>
      <c r="B45" s="49">
        <f>IFERROR(YEAR(INDEX('Content calendar'!$A$7:$A$506,MATCH(44,'Content calendar'!$P$7:$P$506,0)))&amp;"-"&amp;TEXT(MONTH(INDEX('Content calendar'!$A$7:$A$506,MATCH(44,'Content calendar'!$P$7:$P$506,0))),"00")&amp;"-"&amp;TEXT(DAY(INDEX('Content calendar'!$A$7:$A$506,MATCH(44,'Content calendar'!$P$7:$P$506,0))),"00")&amp;" "&amp;TEXT(HOUR(INDEX('Content calendar'!$B$7:$B$506,MATCH(44,'Content calendar'!$P$7:$P$506,0))),"00")&amp;":"&amp;TEXT(MINUTE(INDEX('Content calendar'!$B$7:$B$506,MATCH(44,'Content calendar'!$P$7:$P$506,0))),"00"),"")</f>
        <v/>
      </c>
      <c r="C45" s="49">
        <f>IFERROR(INDEX('Content calendar'!$K$7:$K$506,MATCH(44,'Content calendar'!$P$7:$P$506,0))&amp;"","")</f>
        <v/>
      </c>
      <c r="D45" s="49">
        <f>IFERROR(INDEX('Content calendar'!$L$7:$L$506,MATCH(44,'Content calendar'!$P$7:$P$506,0))&amp;"","")</f>
        <v/>
      </c>
      <c r="E45" s="49">
        <f>IFERROR(INDEX('Content calendar'!$O$7:$O$506,MATCH(44,'Content calendar'!$P$7:$P$506,0))&amp;"","")</f>
        <v/>
      </c>
    </row>
    <row r="46">
      <c r="A46" s="49">
        <f>IFERROR(INDEX('Content calendar'!$H$7:$H$506,MATCH(45,'Content calendar'!$P$7:$P$506,0))&amp;"","")</f>
        <v/>
      </c>
      <c r="B46" s="49">
        <f>IFERROR(YEAR(INDEX('Content calendar'!$A$7:$A$506,MATCH(45,'Content calendar'!$P$7:$P$506,0)))&amp;"-"&amp;TEXT(MONTH(INDEX('Content calendar'!$A$7:$A$506,MATCH(45,'Content calendar'!$P$7:$P$506,0))),"00")&amp;"-"&amp;TEXT(DAY(INDEX('Content calendar'!$A$7:$A$506,MATCH(45,'Content calendar'!$P$7:$P$506,0))),"00")&amp;" "&amp;TEXT(HOUR(INDEX('Content calendar'!$B$7:$B$506,MATCH(45,'Content calendar'!$P$7:$P$506,0))),"00")&amp;":"&amp;TEXT(MINUTE(INDEX('Content calendar'!$B$7:$B$506,MATCH(45,'Content calendar'!$P$7:$P$506,0))),"00"),"")</f>
        <v/>
      </c>
      <c r="C46" s="49">
        <f>IFERROR(INDEX('Content calendar'!$K$7:$K$506,MATCH(45,'Content calendar'!$P$7:$P$506,0))&amp;"","")</f>
        <v/>
      </c>
      <c r="D46" s="49">
        <f>IFERROR(INDEX('Content calendar'!$L$7:$L$506,MATCH(45,'Content calendar'!$P$7:$P$506,0))&amp;"","")</f>
        <v/>
      </c>
      <c r="E46" s="49">
        <f>IFERROR(INDEX('Content calendar'!$O$7:$O$506,MATCH(45,'Content calendar'!$P$7:$P$506,0))&amp;"","")</f>
        <v/>
      </c>
    </row>
    <row r="47">
      <c r="A47" s="49">
        <f>IFERROR(INDEX('Content calendar'!$H$7:$H$506,MATCH(46,'Content calendar'!$P$7:$P$506,0))&amp;"","")</f>
        <v/>
      </c>
      <c r="B47" s="49">
        <f>IFERROR(YEAR(INDEX('Content calendar'!$A$7:$A$506,MATCH(46,'Content calendar'!$P$7:$P$506,0)))&amp;"-"&amp;TEXT(MONTH(INDEX('Content calendar'!$A$7:$A$506,MATCH(46,'Content calendar'!$P$7:$P$506,0))),"00")&amp;"-"&amp;TEXT(DAY(INDEX('Content calendar'!$A$7:$A$506,MATCH(46,'Content calendar'!$P$7:$P$506,0))),"00")&amp;" "&amp;TEXT(HOUR(INDEX('Content calendar'!$B$7:$B$506,MATCH(46,'Content calendar'!$P$7:$P$506,0))),"00")&amp;":"&amp;TEXT(MINUTE(INDEX('Content calendar'!$B$7:$B$506,MATCH(46,'Content calendar'!$P$7:$P$506,0))),"00"),"")</f>
        <v/>
      </c>
      <c r="C47" s="49">
        <f>IFERROR(INDEX('Content calendar'!$K$7:$K$506,MATCH(46,'Content calendar'!$P$7:$P$506,0))&amp;"","")</f>
        <v/>
      </c>
      <c r="D47" s="49">
        <f>IFERROR(INDEX('Content calendar'!$L$7:$L$506,MATCH(46,'Content calendar'!$P$7:$P$506,0))&amp;"","")</f>
        <v/>
      </c>
      <c r="E47" s="49">
        <f>IFERROR(INDEX('Content calendar'!$O$7:$O$506,MATCH(46,'Content calendar'!$P$7:$P$506,0))&amp;"","")</f>
        <v/>
      </c>
    </row>
    <row r="48">
      <c r="A48" s="49">
        <f>IFERROR(INDEX('Content calendar'!$H$7:$H$506,MATCH(47,'Content calendar'!$P$7:$P$506,0))&amp;"","")</f>
        <v/>
      </c>
      <c r="B48" s="49">
        <f>IFERROR(YEAR(INDEX('Content calendar'!$A$7:$A$506,MATCH(47,'Content calendar'!$P$7:$P$506,0)))&amp;"-"&amp;TEXT(MONTH(INDEX('Content calendar'!$A$7:$A$506,MATCH(47,'Content calendar'!$P$7:$P$506,0))),"00")&amp;"-"&amp;TEXT(DAY(INDEX('Content calendar'!$A$7:$A$506,MATCH(47,'Content calendar'!$P$7:$P$506,0))),"00")&amp;" "&amp;TEXT(HOUR(INDEX('Content calendar'!$B$7:$B$506,MATCH(47,'Content calendar'!$P$7:$P$506,0))),"00")&amp;":"&amp;TEXT(MINUTE(INDEX('Content calendar'!$B$7:$B$506,MATCH(47,'Content calendar'!$P$7:$P$506,0))),"00"),"")</f>
        <v/>
      </c>
      <c r="C48" s="49">
        <f>IFERROR(INDEX('Content calendar'!$K$7:$K$506,MATCH(47,'Content calendar'!$P$7:$P$506,0))&amp;"","")</f>
        <v/>
      </c>
      <c r="D48" s="49">
        <f>IFERROR(INDEX('Content calendar'!$L$7:$L$506,MATCH(47,'Content calendar'!$P$7:$P$506,0))&amp;"","")</f>
        <v/>
      </c>
      <c r="E48" s="49">
        <f>IFERROR(INDEX('Content calendar'!$O$7:$O$506,MATCH(47,'Content calendar'!$P$7:$P$506,0))&amp;"","")</f>
        <v/>
      </c>
    </row>
    <row r="49">
      <c r="A49" s="49">
        <f>IFERROR(INDEX('Content calendar'!$H$7:$H$506,MATCH(48,'Content calendar'!$P$7:$P$506,0))&amp;"","")</f>
        <v/>
      </c>
      <c r="B49" s="49">
        <f>IFERROR(YEAR(INDEX('Content calendar'!$A$7:$A$506,MATCH(48,'Content calendar'!$P$7:$P$506,0)))&amp;"-"&amp;TEXT(MONTH(INDEX('Content calendar'!$A$7:$A$506,MATCH(48,'Content calendar'!$P$7:$P$506,0))),"00")&amp;"-"&amp;TEXT(DAY(INDEX('Content calendar'!$A$7:$A$506,MATCH(48,'Content calendar'!$P$7:$P$506,0))),"00")&amp;" "&amp;TEXT(HOUR(INDEX('Content calendar'!$B$7:$B$506,MATCH(48,'Content calendar'!$P$7:$P$506,0))),"00")&amp;":"&amp;TEXT(MINUTE(INDEX('Content calendar'!$B$7:$B$506,MATCH(48,'Content calendar'!$P$7:$P$506,0))),"00"),"")</f>
        <v/>
      </c>
      <c r="C49" s="49">
        <f>IFERROR(INDEX('Content calendar'!$K$7:$K$506,MATCH(48,'Content calendar'!$P$7:$P$506,0))&amp;"","")</f>
        <v/>
      </c>
      <c r="D49" s="49">
        <f>IFERROR(INDEX('Content calendar'!$L$7:$L$506,MATCH(48,'Content calendar'!$P$7:$P$506,0))&amp;"","")</f>
        <v/>
      </c>
      <c r="E49" s="49">
        <f>IFERROR(INDEX('Content calendar'!$O$7:$O$506,MATCH(48,'Content calendar'!$P$7:$P$506,0))&amp;"","")</f>
        <v/>
      </c>
    </row>
    <row r="50">
      <c r="A50" s="49">
        <f>IFERROR(INDEX('Content calendar'!$H$7:$H$506,MATCH(49,'Content calendar'!$P$7:$P$506,0))&amp;"","")</f>
        <v/>
      </c>
      <c r="B50" s="49">
        <f>IFERROR(YEAR(INDEX('Content calendar'!$A$7:$A$506,MATCH(49,'Content calendar'!$P$7:$P$506,0)))&amp;"-"&amp;TEXT(MONTH(INDEX('Content calendar'!$A$7:$A$506,MATCH(49,'Content calendar'!$P$7:$P$506,0))),"00")&amp;"-"&amp;TEXT(DAY(INDEX('Content calendar'!$A$7:$A$506,MATCH(49,'Content calendar'!$P$7:$P$506,0))),"00")&amp;" "&amp;TEXT(HOUR(INDEX('Content calendar'!$B$7:$B$506,MATCH(49,'Content calendar'!$P$7:$P$506,0))),"00")&amp;":"&amp;TEXT(MINUTE(INDEX('Content calendar'!$B$7:$B$506,MATCH(49,'Content calendar'!$P$7:$P$506,0))),"00"),"")</f>
        <v/>
      </c>
      <c r="C50" s="49">
        <f>IFERROR(INDEX('Content calendar'!$K$7:$K$506,MATCH(49,'Content calendar'!$P$7:$P$506,0))&amp;"","")</f>
        <v/>
      </c>
      <c r="D50" s="49">
        <f>IFERROR(INDEX('Content calendar'!$L$7:$L$506,MATCH(49,'Content calendar'!$P$7:$P$506,0))&amp;"","")</f>
        <v/>
      </c>
      <c r="E50" s="49">
        <f>IFERROR(INDEX('Content calendar'!$O$7:$O$506,MATCH(49,'Content calendar'!$P$7:$P$506,0))&amp;"","")</f>
        <v/>
      </c>
    </row>
    <row r="51">
      <c r="A51" s="49">
        <f>IFERROR(INDEX('Content calendar'!$H$7:$H$506,MATCH(50,'Content calendar'!$P$7:$P$506,0))&amp;"","")</f>
        <v/>
      </c>
      <c r="B51" s="49">
        <f>IFERROR(YEAR(INDEX('Content calendar'!$A$7:$A$506,MATCH(50,'Content calendar'!$P$7:$P$506,0)))&amp;"-"&amp;TEXT(MONTH(INDEX('Content calendar'!$A$7:$A$506,MATCH(50,'Content calendar'!$P$7:$P$506,0))),"00")&amp;"-"&amp;TEXT(DAY(INDEX('Content calendar'!$A$7:$A$506,MATCH(50,'Content calendar'!$P$7:$P$506,0))),"00")&amp;" "&amp;TEXT(HOUR(INDEX('Content calendar'!$B$7:$B$506,MATCH(50,'Content calendar'!$P$7:$P$506,0))),"00")&amp;":"&amp;TEXT(MINUTE(INDEX('Content calendar'!$B$7:$B$506,MATCH(50,'Content calendar'!$P$7:$P$506,0))),"00"),"")</f>
        <v/>
      </c>
      <c r="C51" s="49">
        <f>IFERROR(INDEX('Content calendar'!$K$7:$K$506,MATCH(50,'Content calendar'!$P$7:$P$506,0))&amp;"","")</f>
        <v/>
      </c>
      <c r="D51" s="49">
        <f>IFERROR(INDEX('Content calendar'!$L$7:$L$506,MATCH(50,'Content calendar'!$P$7:$P$506,0))&amp;"","")</f>
        <v/>
      </c>
      <c r="E51" s="49">
        <f>IFERROR(INDEX('Content calendar'!$O$7:$O$506,MATCH(50,'Content calendar'!$P$7:$P$506,0))&amp;"","")</f>
        <v/>
      </c>
    </row>
    <row r="52">
      <c r="A52" s="49">
        <f>IFERROR(INDEX('Content calendar'!$H$7:$H$506,MATCH(51,'Content calendar'!$P$7:$P$506,0))&amp;"","")</f>
        <v/>
      </c>
      <c r="B52" s="49">
        <f>IFERROR(YEAR(INDEX('Content calendar'!$A$7:$A$506,MATCH(51,'Content calendar'!$P$7:$P$506,0)))&amp;"-"&amp;TEXT(MONTH(INDEX('Content calendar'!$A$7:$A$506,MATCH(51,'Content calendar'!$P$7:$P$506,0))),"00")&amp;"-"&amp;TEXT(DAY(INDEX('Content calendar'!$A$7:$A$506,MATCH(51,'Content calendar'!$P$7:$P$506,0))),"00")&amp;" "&amp;TEXT(HOUR(INDEX('Content calendar'!$B$7:$B$506,MATCH(51,'Content calendar'!$P$7:$P$506,0))),"00")&amp;":"&amp;TEXT(MINUTE(INDEX('Content calendar'!$B$7:$B$506,MATCH(51,'Content calendar'!$P$7:$P$506,0))),"00"),"")</f>
        <v/>
      </c>
      <c r="C52" s="49">
        <f>IFERROR(INDEX('Content calendar'!$K$7:$K$506,MATCH(51,'Content calendar'!$P$7:$P$506,0))&amp;"","")</f>
        <v/>
      </c>
      <c r="D52" s="49">
        <f>IFERROR(INDEX('Content calendar'!$L$7:$L$506,MATCH(51,'Content calendar'!$P$7:$P$506,0))&amp;"","")</f>
        <v/>
      </c>
      <c r="E52" s="49">
        <f>IFERROR(INDEX('Content calendar'!$O$7:$O$506,MATCH(51,'Content calendar'!$P$7:$P$506,0))&amp;"","")</f>
        <v/>
      </c>
    </row>
    <row r="53">
      <c r="A53" s="49">
        <f>IFERROR(INDEX('Content calendar'!$H$7:$H$506,MATCH(52,'Content calendar'!$P$7:$P$506,0))&amp;"","")</f>
        <v/>
      </c>
      <c r="B53" s="49">
        <f>IFERROR(YEAR(INDEX('Content calendar'!$A$7:$A$506,MATCH(52,'Content calendar'!$P$7:$P$506,0)))&amp;"-"&amp;TEXT(MONTH(INDEX('Content calendar'!$A$7:$A$506,MATCH(52,'Content calendar'!$P$7:$P$506,0))),"00")&amp;"-"&amp;TEXT(DAY(INDEX('Content calendar'!$A$7:$A$506,MATCH(52,'Content calendar'!$P$7:$P$506,0))),"00")&amp;" "&amp;TEXT(HOUR(INDEX('Content calendar'!$B$7:$B$506,MATCH(52,'Content calendar'!$P$7:$P$506,0))),"00")&amp;":"&amp;TEXT(MINUTE(INDEX('Content calendar'!$B$7:$B$506,MATCH(52,'Content calendar'!$P$7:$P$506,0))),"00"),"")</f>
        <v/>
      </c>
      <c r="C53" s="49">
        <f>IFERROR(INDEX('Content calendar'!$K$7:$K$506,MATCH(52,'Content calendar'!$P$7:$P$506,0))&amp;"","")</f>
        <v/>
      </c>
      <c r="D53" s="49">
        <f>IFERROR(INDEX('Content calendar'!$L$7:$L$506,MATCH(52,'Content calendar'!$P$7:$P$506,0))&amp;"","")</f>
        <v/>
      </c>
      <c r="E53" s="49">
        <f>IFERROR(INDEX('Content calendar'!$O$7:$O$506,MATCH(52,'Content calendar'!$P$7:$P$506,0))&amp;"","")</f>
        <v/>
      </c>
    </row>
    <row r="54">
      <c r="A54" s="49">
        <f>IFERROR(INDEX('Content calendar'!$H$7:$H$506,MATCH(53,'Content calendar'!$P$7:$P$506,0))&amp;"","")</f>
        <v/>
      </c>
      <c r="B54" s="49">
        <f>IFERROR(YEAR(INDEX('Content calendar'!$A$7:$A$506,MATCH(53,'Content calendar'!$P$7:$P$506,0)))&amp;"-"&amp;TEXT(MONTH(INDEX('Content calendar'!$A$7:$A$506,MATCH(53,'Content calendar'!$P$7:$P$506,0))),"00")&amp;"-"&amp;TEXT(DAY(INDEX('Content calendar'!$A$7:$A$506,MATCH(53,'Content calendar'!$P$7:$P$506,0))),"00")&amp;" "&amp;TEXT(HOUR(INDEX('Content calendar'!$B$7:$B$506,MATCH(53,'Content calendar'!$P$7:$P$506,0))),"00")&amp;":"&amp;TEXT(MINUTE(INDEX('Content calendar'!$B$7:$B$506,MATCH(53,'Content calendar'!$P$7:$P$506,0))),"00"),"")</f>
        <v/>
      </c>
      <c r="C54" s="49">
        <f>IFERROR(INDEX('Content calendar'!$K$7:$K$506,MATCH(53,'Content calendar'!$P$7:$P$506,0))&amp;"","")</f>
        <v/>
      </c>
      <c r="D54" s="49">
        <f>IFERROR(INDEX('Content calendar'!$L$7:$L$506,MATCH(53,'Content calendar'!$P$7:$P$506,0))&amp;"","")</f>
        <v/>
      </c>
      <c r="E54" s="49">
        <f>IFERROR(INDEX('Content calendar'!$O$7:$O$506,MATCH(53,'Content calendar'!$P$7:$P$506,0))&amp;"","")</f>
        <v/>
      </c>
    </row>
    <row r="55">
      <c r="A55" s="49">
        <f>IFERROR(INDEX('Content calendar'!$H$7:$H$506,MATCH(54,'Content calendar'!$P$7:$P$506,0))&amp;"","")</f>
        <v/>
      </c>
      <c r="B55" s="49">
        <f>IFERROR(YEAR(INDEX('Content calendar'!$A$7:$A$506,MATCH(54,'Content calendar'!$P$7:$P$506,0)))&amp;"-"&amp;TEXT(MONTH(INDEX('Content calendar'!$A$7:$A$506,MATCH(54,'Content calendar'!$P$7:$P$506,0))),"00")&amp;"-"&amp;TEXT(DAY(INDEX('Content calendar'!$A$7:$A$506,MATCH(54,'Content calendar'!$P$7:$P$506,0))),"00")&amp;" "&amp;TEXT(HOUR(INDEX('Content calendar'!$B$7:$B$506,MATCH(54,'Content calendar'!$P$7:$P$506,0))),"00")&amp;":"&amp;TEXT(MINUTE(INDEX('Content calendar'!$B$7:$B$506,MATCH(54,'Content calendar'!$P$7:$P$506,0))),"00"),"")</f>
        <v/>
      </c>
      <c r="C55" s="49">
        <f>IFERROR(INDEX('Content calendar'!$K$7:$K$506,MATCH(54,'Content calendar'!$P$7:$P$506,0))&amp;"","")</f>
        <v/>
      </c>
      <c r="D55" s="49">
        <f>IFERROR(INDEX('Content calendar'!$L$7:$L$506,MATCH(54,'Content calendar'!$P$7:$P$506,0))&amp;"","")</f>
        <v/>
      </c>
      <c r="E55" s="49">
        <f>IFERROR(INDEX('Content calendar'!$O$7:$O$506,MATCH(54,'Content calendar'!$P$7:$P$506,0))&amp;"","")</f>
        <v/>
      </c>
    </row>
    <row r="56">
      <c r="A56" s="49">
        <f>IFERROR(INDEX('Content calendar'!$H$7:$H$506,MATCH(55,'Content calendar'!$P$7:$P$506,0))&amp;"","")</f>
        <v/>
      </c>
      <c r="B56" s="49">
        <f>IFERROR(YEAR(INDEX('Content calendar'!$A$7:$A$506,MATCH(55,'Content calendar'!$P$7:$P$506,0)))&amp;"-"&amp;TEXT(MONTH(INDEX('Content calendar'!$A$7:$A$506,MATCH(55,'Content calendar'!$P$7:$P$506,0))),"00")&amp;"-"&amp;TEXT(DAY(INDEX('Content calendar'!$A$7:$A$506,MATCH(55,'Content calendar'!$P$7:$P$506,0))),"00")&amp;" "&amp;TEXT(HOUR(INDEX('Content calendar'!$B$7:$B$506,MATCH(55,'Content calendar'!$P$7:$P$506,0))),"00")&amp;":"&amp;TEXT(MINUTE(INDEX('Content calendar'!$B$7:$B$506,MATCH(55,'Content calendar'!$P$7:$P$506,0))),"00"),"")</f>
        <v/>
      </c>
      <c r="C56" s="49">
        <f>IFERROR(INDEX('Content calendar'!$K$7:$K$506,MATCH(55,'Content calendar'!$P$7:$P$506,0))&amp;"","")</f>
        <v/>
      </c>
      <c r="D56" s="49">
        <f>IFERROR(INDEX('Content calendar'!$L$7:$L$506,MATCH(55,'Content calendar'!$P$7:$P$506,0))&amp;"","")</f>
        <v/>
      </c>
      <c r="E56" s="49">
        <f>IFERROR(INDEX('Content calendar'!$O$7:$O$506,MATCH(55,'Content calendar'!$P$7:$P$506,0))&amp;"","")</f>
        <v/>
      </c>
    </row>
    <row r="57">
      <c r="A57" s="49">
        <f>IFERROR(INDEX('Content calendar'!$H$7:$H$506,MATCH(56,'Content calendar'!$P$7:$P$506,0))&amp;"","")</f>
        <v/>
      </c>
      <c r="B57" s="49">
        <f>IFERROR(YEAR(INDEX('Content calendar'!$A$7:$A$506,MATCH(56,'Content calendar'!$P$7:$P$506,0)))&amp;"-"&amp;TEXT(MONTH(INDEX('Content calendar'!$A$7:$A$506,MATCH(56,'Content calendar'!$P$7:$P$506,0))),"00")&amp;"-"&amp;TEXT(DAY(INDEX('Content calendar'!$A$7:$A$506,MATCH(56,'Content calendar'!$P$7:$P$506,0))),"00")&amp;" "&amp;TEXT(HOUR(INDEX('Content calendar'!$B$7:$B$506,MATCH(56,'Content calendar'!$P$7:$P$506,0))),"00")&amp;":"&amp;TEXT(MINUTE(INDEX('Content calendar'!$B$7:$B$506,MATCH(56,'Content calendar'!$P$7:$P$506,0))),"00"),"")</f>
        <v/>
      </c>
      <c r="C57" s="49">
        <f>IFERROR(INDEX('Content calendar'!$K$7:$K$506,MATCH(56,'Content calendar'!$P$7:$P$506,0))&amp;"","")</f>
        <v/>
      </c>
      <c r="D57" s="49">
        <f>IFERROR(INDEX('Content calendar'!$L$7:$L$506,MATCH(56,'Content calendar'!$P$7:$P$506,0))&amp;"","")</f>
        <v/>
      </c>
      <c r="E57" s="49">
        <f>IFERROR(INDEX('Content calendar'!$O$7:$O$506,MATCH(56,'Content calendar'!$P$7:$P$506,0))&amp;"","")</f>
        <v/>
      </c>
    </row>
    <row r="58">
      <c r="A58" s="49">
        <f>IFERROR(INDEX('Content calendar'!$H$7:$H$506,MATCH(57,'Content calendar'!$P$7:$P$506,0))&amp;"","")</f>
        <v/>
      </c>
      <c r="B58" s="49">
        <f>IFERROR(YEAR(INDEX('Content calendar'!$A$7:$A$506,MATCH(57,'Content calendar'!$P$7:$P$506,0)))&amp;"-"&amp;TEXT(MONTH(INDEX('Content calendar'!$A$7:$A$506,MATCH(57,'Content calendar'!$P$7:$P$506,0))),"00")&amp;"-"&amp;TEXT(DAY(INDEX('Content calendar'!$A$7:$A$506,MATCH(57,'Content calendar'!$P$7:$P$506,0))),"00")&amp;" "&amp;TEXT(HOUR(INDEX('Content calendar'!$B$7:$B$506,MATCH(57,'Content calendar'!$P$7:$P$506,0))),"00")&amp;":"&amp;TEXT(MINUTE(INDEX('Content calendar'!$B$7:$B$506,MATCH(57,'Content calendar'!$P$7:$P$506,0))),"00"),"")</f>
        <v/>
      </c>
      <c r="C58" s="49">
        <f>IFERROR(INDEX('Content calendar'!$K$7:$K$506,MATCH(57,'Content calendar'!$P$7:$P$506,0))&amp;"","")</f>
        <v/>
      </c>
      <c r="D58" s="49">
        <f>IFERROR(INDEX('Content calendar'!$L$7:$L$506,MATCH(57,'Content calendar'!$P$7:$P$506,0))&amp;"","")</f>
        <v/>
      </c>
      <c r="E58" s="49">
        <f>IFERROR(INDEX('Content calendar'!$O$7:$O$506,MATCH(57,'Content calendar'!$P$7:$P$506,0))&amp;"","")</f>
        <v/>
      </c>
    </row>
    <row r="59">
      <c r="A59" s="49">
        <f>IFERROR(INDEX('Content calendar'!$H$7:$H$506,MATCH(58,'Content calendar'!$P$7:$P$506,0))&amp;"","")</f>
        <v/>
      </c>
      <c r="B59" s="49">
        <f>IFERROR(YEAR(INDEX('Content calendar'!$A$7:$A$506,MATCH(58,'Content calendar'!$P$7:$P$506,0)))&amp;"-"&amp;TEXT(MONTH(INDEX('Content calendar'!$A$7:$A$506,MATCH(58,'Content calendar'!$P$7:$P$506,0))),"00")&amp;"-"&amp;TEXT(DAY(INDEX('Content calendar'!$A$7:$A$506,MATCH(58,'Content calendar'!$P$7:$P$506,0))),"00")&amp;" "&amp;TEXT(HOUR(INDEX('Content calendar'!$B$7:$B$506,MATCH(58,'Content calendar'!$P$7:$P$506,0))),"00")&amp;":"&amp;TEXT(MINUTE(INDEX('Content calendar'!$B$7:$B$506,MATCH(58,'Content calendar'!$P$7:$P$506,0))),"00"),"")</f>
        <v/>
      </c>
      <c r="C59" s="49">
        <f>IFERROR(INDEX('Content calendar'!$K$7:$K$506,MATCH(58,'Content calendar'!$P$7:$P$506,0))&amp;"","")</f>
        <v/>
      </c>
      <c r="D59" s="49">
        <f>IFERROR(INDEX('Content calendar'!$L$7:$L$506,MATCH(58,'Content calendar'!$P$7:$P$506,0))&amp;"","")</f>
        <v/>
      </c>
      <c r="E59" s="49">
        <f>IFERROR(INDEX('Content calendar'!$O$7:$O$506,MATCH(58,'Content calendar'!$P$7:$P$506,0))&amp;"","")</f>
        <v/>
      </c>
    </row>
    <row r="60">
      <c r="A60" s="49">
        <f>IFERROR(INDEX('Content calendar'!$H$7:$H$506,MATCH(59,'Content calendar'!$P$7:$P$506,0))&amp;"","")</f>
        <v/>
      </c>
      <c r="B60" s="49">
        <f>IFERROR(YEAR(INDEX('Content calendar'!$A$7:$A$506,MATCH(59,'Content calendar'!$P$7:$P$506,0)))&amp;"-"&amp;TEXT(MONTH(INDEX('Content calendar'!$A$7:$A$506,MATCH(59,'Content calendar'!$P$7:$P$506,0))),"00")&amp;"-"&amp;TEXT(DAY(INDEX('Content calendar'!$A$7:$A$506,MATCH(59,'Content calendar'!$P$7:$P$506,0))),"00")&amp;" "&amp;TEXT(HOUR(INDEX('Content calendar'!$B$7:$B$506,MATCH(59,'Content calendar'!$P$7:$P$506,0))),"00")&amp;":"&amp;TEXT(MINUTE(INDEX('Content calendar'!$B$7:$B$506,MATCH(59,'Content calendar'!$P$7:$P$506,0))),"00"),"")</f>
        <v/>
      </c>
      <c r="C60" s="49">
        <f>IFERROR(INDEX('Content calendar'!$K$7:$K$506,MATCH(59,'Content calendar'!$P$7:$P$506,0))&amp;"","")</f>
        <v/>
      </c>
      <c r="D60" s="49">
        <f>IFERROR(INDEX('Content calendar'!$L$7:$L$506,MATCH(59,'Content calendar'!$P$7:$P$506,0))&amp;"","")</f>
        <v/>
      </c>
      <c r="E60" s="49">
        <f>IFERROR(INDEX('Content calendar'!$O$7:$O$506,MATCH(59,'Content calendar'!$P$7:$P$506,0))&amp;"","")</f>
        <v/>
      </c>
    </row>
    <row r="61">
      <c r="A61" s="49">
        <f>IFERROR(INDEX('Content calendar'!$H$7:$H$506,MATCH(60,'Content calendar'!$P$7:$P$506,0))&amp;"","")</f>
        <v/>
      </c>
      <c r="B61" s="49">
        <f>IFERROR(YEAR(INDEX('Content calendar'!$A$7:$A$506,MATCH(60,'Content calendar'!$P$7:$P$506,0)))&amp;"-"&amp;TEXT(MONTH(INDEX('Content calendar'!$A$7:$A$506,MATCH(60,'Content calendar'!$P$7:$P$506,0))),"00")&amp;"-"&amp;TEXT(DAY(INDEX('Content calendar'!$A$7:$A$506,MATCH(60,'Content calendar'!$P$7:$P$506,0))),"00")&amp;" "&amp;TEXT(HOUR(INDEX('Content calendar'!$B$7:$B$506,MATCH(60,'Content calendar'!$P$7:$P$506,0))),"00")&amp;":"&amp;TEXT(MINUTE(INDEX('Content calendar'!$B$7:$B$506,MATCH(60,'Content calendar'!$P$7:$P$506,0))),"00"),"")</f>
        <v/>
      </c>
      <c r="C61" s="49">
        <f>IFERROR(INDEX('Content calendar'!$K$7:$K$506,MATCH(60,'Content calendar'!$P$7:$P$506,0))&amp;"","")</f>
        <v/>
      </c>
      <c r="D61" s="49">
        <f>IFERROR(INDEX('Content calendar'!$L$7:$L$506,MATCH(60,'Content calendar'!$P$7:$P$506,0))&amp;"","")</f>
        <v/>
      </c>
      <c r="E61" s="49">
        <f>IFERROR(INDEX('Content calendar'!$O$7:$O$506,MATCH(60,'Content calendar'!$P$7:$P$506,0))&amp;"","")</f>
        <v/>
      </c>
    </row>
    <row r="62">
      <c r="A62" s="49">
        <f>IFERROR(INDEX('Content calendar'!$H$7:$H$506,MATCH(61,'Content calendar'!$P$7:$P$506,0))&amp;"","")</f>
        <v/>
      </c>
      <c r="B62" s="49">
        <f>IFERROR(YEAR(INDEX('Content calendar'!$A$7:$A$506,MATCH(61,'Content calendar'!$P$7:$P$506,0)))&amp;"-"&amp;TEXT(MONTH(INDEX('Content calendar'!$A$7:$A$506,MATCH(61,'Content calendar'!$P$7:$P$506,0))),"00")&amp;"-"&amp;TEXT(DAY(INDEX('Content calendar'!$A$7:$A$506,MATCH(61,'Content calendar'!$P$7:$P$506,0))),"00")&amp;" "&amp;TEXT(HOUR(INDEX('Content calendar'!$B$7:$B$506,MATCH(61,'Content calendar'!$P$7:$P$506,0))),"00")&amp;":"&amp;TEXT(MINUTE(INDEX('Content calendar'!$B$7:$B$506,MATCH(61,'Content calendar'!$P$7:$P$506,0))),"00"),"")</f>
        <v/>
      </c>
      <c r="C62" s="49">
        <f>IFERROR(INDEX('Content calendar'!$K$7:$K$506,MATCH(61,'Content calendar'!$P$7:$P$506,0))&amp;"","")</f>
        <v/>
      </c>
      <c r="D62" s="49">
        <f>IFERROR(INDEX('Content calendar'!$L$7:$L$506,MATCH(61,'Content calendar'!$P$7:$P$506,0))&amp;"","")</f>
        <v/>
      </c>
      <c r="E62" s="49">
        <f>IFERROR(INDEX('Content calendar'!$O$7:$O$506,MATCH(61,'Content calendar'!$P$7:$P$506,0))&amp;"","")</f>
        <v/>
      </c>
    </row>
    <row r="63">
      <c r="A63" s="49">
        <f>IFERROR(INDEX('Content calendar'!$H$7:$H$506,MATCH(62,'Content calendar'!$P$7:$P$506,0))&amp;"","")</f>
        <v/>
      </c>
      <c r="B63" s="49">
        <f>IFERROR(YEAR(INDEX('Content calendar'!$A$7:$A$506,MATCH(62,'Content calendar'!$P$7:$P$506,0)))&amp;"-"&amp;TEXT(MONTH(INDEX('Content calendar'!$A$7:$A$506,MATCH(62,'Content calendar'!$P$7:$P$506,0))),"00")&amp;"-"&amp;TEXT(DAY(INDEX('Content calendar'!$A$7:$A$506,MATCH(62,'Content calendar'!$P$7:$P$506,0))),"00")&amp;" "&amp;TEXT(HOUR(INDEX('Content calendar'!$B$7:$B$506,MATCH(62,'Content calendar'!$P$7:$P$506,0))),"00")&amp;":"&amp;TEXT(MINUTE(INDEX('Content calendar'!$B$7:$B$506,MATCH(62,'Content calendar'!$P$7:$P$506,0))),"00"),"")</f>
        <v/>
      </c>
      <c r="C63" s="49">
        <f>IFERROR(INDEX('Content calendar'!$K$7:$K$506,MATCH(62,'Content calendar'!$P$7:$P$506,0))&amp;"","")</f>
        <v/>
      </c>
      <c r="D63" s="49">
        <f>IFERROR(INDEX('Content calendar'!$L$7:$L$506,MATCH(62,'Content calendar'!$P$7:$P$506,0))&amp;"","")</f>
        <v/>
      </c>
      <c r="E63" s="49">
        <f>IFERROR(INDEX('Content calendar'!$O$7:$O$506,MATCH(62,'Content calendar'!$P$7:$P$506,0))&amp;"","")</f>
        <v/>
      </c>
    </row>
    <row r="64">
      <c r="A64" s="49">
        <f>IFERROR(INDEX('Content calendar'!$H$7:$H$506,MATCH(63,'Content calendar'!$P$7:$P$506,0))&amp;"","")</f>
        <v/>
      </c>
      <c r="B64" s="49">
        <f>IFERROR(YEAR(INDEX('Content calendar'!$A$7:$A$506,MATCH(63,'Content calendar'!$P$7:$P$506,0)))&amp;"-"&amp;TEXT(MONTH(INDEX('Content calendar'!$A$7:$A$506,MATCH(63,'Content calendar'!$P$7:$P$506,0))),"00")&amp;"-"&amp;TEXT(DAY(INDEX('Content calendar'!$A$7:$A$506,MATCH(63,'Content calendar'!$P$7:$P$506,0))),"00")&amp;" "&amp;TEXT(HOUR(INDEX('Content calendar'!$B$7:$B$506,MATCH(63,'Content calendar'!$P$7:$P$506,0))),"00")&amp;":"&amp;TEXT(MINUTE(INDEX('Content calendar'!$B$7:$B$506,MATCH(63,'Content calendar'!$P$7:$P$506,0))),"00"),"")</f>
        <v/>
      </c>
      <c r="C64" s="49">
        <f>IFERROR(INDEX('Content calendar'!$K$7:$K$506,MATCH(63,'Content calendar'!$P$7:$P$506,0))&amp;"","")</f>
        <v/>
      </c>
      <c r="D64" s="49">
        <f>IFERROR(INDEX('Content calendar'!$L$7:$L$506,MATCH(63,'Content calendar'!$P$7:$P$506,0))&amp;"","")</f>
        <v/>
      </c>
      <c r="E64" s="49">
        <f>IFERROR(INDEX('Content calendar'!$O$7:$O$506,MATCH(63,'Content calendar'!$P$7:$P$506,0))&amp;"","")</f>
        <v/>
      </c>
    </row>
    <row r="65">
      <c r="A65" s="49">
        <f>IFERROR(INDEX('Content calendar'!$H$7:$H$506,MATCH(64,'Content calendar'!$P$7:$P$506,0))&amp;"","")</f>
        <v/>
      </c>
      <c r="B65" s="49">
        <f>IFERROR(YEAR(INDEX('Content calendar'!$A$7:$A$506,MATCH(64,'Content calendar'!$P$7:$P$506,0)))&amp;"-"&amp;TEXT(MONTH(INDEX('Content calendar'!$A$7:$A$506,MATCH(64,'Content calendar'!$P$7:$P$506,0))),"00")&amp;"-"&amp;TEXT(DAY(INDEX('Content calendar'!$A$7:$A$506,MATCH(64,'Content calendar'!$P$7:$P$506,0))),"00")&amp;" "&amp;TEXT(HOUR(INDEX('Content calendar'!$B$7:$B$506,MATCH(64,'Content calendar'!$P$7:$P$506,0))),"00")&amp;":"&amp;TEXT(MINUTE(INDEX('Content calendar'!$B$7:$B$506,MATCH(64,'Content calendar'!$P$7:$P$506,0))),"00"),"")</f>
        <v/>
      </c>
      <c r="C65" s="49">
        <f>IFERROR(INDEX('Content calendar'!$K$7:$K$506,MATCH(64,'Content calendar'!$P$7:$P$506,0))&amp;"","")</f>
        <v/>
      </c>
      <c r="D65" s="49">
        <f>IFERROR(INDEX('Content calendar'!$L$7:$L$506,MATCH(64,'Content calendar'!$P$7:$P$506,0))&amp;"","")</f>
        <v/>
      </c>
      <c r="E65" s="49">
        <f>IFERROR(INDEX('Content calendar'!$O$7:$O$506,MATCH(64,'Content calendar'!$P$7:$P$506,0))&amp;"","")</f>
        <v/>
      </c>
    </row>
    <row r="66">
      <c r="A66" s="49">
        <f>IFERROR(INDEX('Content calendar'!$H$7:$H$506,MATCH(65,'Content calendar'!$P$7:$P$506,0))&amp;"","")</f>
        <v/>
      </c>
      <c r="B66" s="49">
        <f>IFERROR(YEAR(INDEX('Content calendar'!$A$7:$A$506,MATCH(65,'Content calendar'!$P$7:$P$506,0)))&amp;"-"&amp;TEXT(MONTH(INDEX('Content calendar'!$A$7:$A$506,MATCH(65,'Content calendar'!$P$7:$P$506,0))),"00")&amp;"-"&amp;TEXT(DAY(INDEX('Content calendar'!$A$7:$A$506,MATCH(65,'Content calendar'!$P$7:$P$506,0))),"00")&amp;" "&amp;TEXT(HOUR(INDEX('Content calendar'!$B$7:$B$506,MATCH(65,'Content calendar'!$P$7:$P$506,0))),"00")&amp;":"&amp;TEXT(MINUTE(INDEX('Content calendar'!$B$7:$B$506,MATCH(65,'Content calendar'!$P$7:$P$506,0))),"00"),"")</f>
        <v/>
      </c>
      <c r="C66" s="49">
        <f>IFERROR(INDEX('Content calendar'!$K$7:$K$506,MATCH(65,'Content calendar'!$P$7:$P$506,0))&amp;"","")</f>
        <v/>
      </c>
      <c r="D66" s="49">
        <f>IFERROR(INDEX('Content calendar'!$L$7:$L$506,MATCH(65,'Content calendar'!$P$7:$P$506,0))&amp;"","")</f>
        <v/>
      </c>
      <c r="E66" s="49">
        <f>IFERROR(INDEX('Content calendar'!$O$7:$O$506,MATCH(65,'Content calendar'!$P$7:$P$506,0))&amp;"","")</f>
        <v/>
      </c>
    </row>
    <row r="67">
      <c r="A67" s="49">
        <f>IFERROR(INDEX('Content calendar'!$H$7:$H$506,MATCH(66,'Content calendar'!$P$7:$P$506,0))&amp;"","")</f>
        <v/>
      </c>
      <c r="B67" s="49">
        <f>IFERROR(YEAR(INDEX('Content calendar'!$A$7:$A$506,MATCH(66,'Content calendar'!$P$7:$P$506,0)))&amp;"-"&amp;TEXT(MONTH(INDEX('Content calendar'!$A$7:$A$506,MATCH(66,'Content calendar'!$P$7:$P$506,0))),"00")&amp;"-"&amp;TEXT(DAY(INDEX('Content calendar'!$A$7:$A$506,MATCH(66,'Content calendar'!$P$7:$P$506,0))),"00")&amp;" "&amp;TEXT(HOUR(INDEX('Content calendar'!$B$7:$B$506,MATCH(66,'Content calendar'!$P$7:$P$506,0))),"00")&amp;":"&amp;TEXT(MINUTE(INDEX('Content calendar'!$B$7:$B$506,MATCH(66,'Content calendar'!$P$7:$P$506,0))),"00"),"")</f>
        <v/>
      </c>
      <c r="C67" s="49">
        <f>IFERROR(INDEX('Content calendar'!$K$7:$K$506,MATCH(66,'Content calendar'!$P$7:$P$506,0))&amp;"","")</f>
        <v/>
      </c>
      <c r="D67" s="49">
        <f>IFERROR(INDEX('Content calendar'!$L$7:$L$506,MATCH(66,'Content calendar'!$P$7:$P$506,0))&amp;"","")</f>
        <v/>
      </c>
      <c r="E67" s="49">
        <f>IFERROR(INDEX('Content calendar'!$O$7:$O$506,MATCH(66,'Content calendar'!$P$7:$P$506,0))&amp;"","")</f>
        <v/>
      </c>
    </row>
    <row r="68">
      <c r="A68" s="49">
        <f>IFERROR(INDEX('Content calendar'!$H$7:$H$506,MATCH(67,'Content calendar'!$P$7:$P$506,0))&amp;"","")</f>
        <v/>
      </c>
      <c r="B68" s="49">
        <f>IFERROR(YEAR(INDEX('Content calendar'!$A$7:$A$506,MATCH(67,'Content calendar'!$P$7:$P$506,0)))&amp;"-"&amp;TEXT(MONTH(INDEX('Content calendar'!$A$7:$A$506,MATCH(67,'Content calendar'!$P$7:$P$506,0))),"00")&amp;"-"&amp;TEXT(DAY(INDEX('Content calendar'!$A$7:$A$506,MATCH(67,'Content calendar'!$P$7:$P$506,0))),"00")&amp;" "&amp;TEXT(HOUR(INDEX('Content calendar'!$B$7:$B$506,MATCH(67,'Content calendar'!$P$7:$P$506,0))),"00")&amp;":"&amp;TEXT(MINUTE(INDEX('Content calendar'!$B$7:$B$506,MATCH(67,'Content calendar'!$P$7:$P$506,0))),"00"),"")</f>
        <v/>
      </c>
      <c r="C68" s="49">
        <f>IFERROR(INDEX('Content calendar'!$K$7:$K$506,MATCH(67,'Content calendar'!$P$7:$P$506,0))&amp;"","")</f>
        <v/>
      </c>
      <c r="D68" s="49">
        <f>IFERROR(INDEX('Content calendar'!$L$7:$L$506,MATCH(67,'Content calendar'!$P$7:$P$506,0))&amp;"","")</f>
        <v/>
      </c>
      <c r="E68" s="49">
        <f>IFERROR(INDEX('Content calendar'!$O$7:$O$506,MATCH(67,'Content calendar'!$P$7:$P$506,0))&amp;"","")</f>
        <v/>
      </c>
    </row>
    <row r="69">
      <c r="A69" s="49">
        <f>IFERROR(INDEX('Content calendar'!$H$7:$H$506,MATCH(68,'Content calendar'!$P$7:$P$506,0))&amp;"","")</f>
        <v/>
      </c>
      <c r="B69" s="49">
        <f>IFERROR(YEAR(INDEX('Content calendar'!$A$7:$A$506,MATCH(68,'Content calendar'!$P$7:$P$506,0)))&amp;"-"&amp;TEXT(MONTH(INDEX('Content calendar'!$A$7:$A$506,MATCH(68,'Content calendar'!$P$7:$P$506,0))),"00")&amp;"-"&amp;TEXT(DAY(INDEX('Content calendar'!$A$7:$A$506,MATCH(68,'Content calendar'!$P$7:$P$506,0))),"00")&amp;" "&amp;TEXT(HOUR(INDEX('Content calendar'!$B$7:$B$506,MATCH(68,'Content calendar'!$P$7:$P$506,0))),"00")&amp;":"&amp;TEXT(MINUTE(INDEX('Content calendar'!$B$7:$B$506,MATCH(68,'Content calendar'!$P$7:$P$506,0))),"00"),"")</f>
        <v/>
      </c>
      <c r="C69" s="49">
        <f>IFERROR(INDEX('Content calendar'!$K$7:$K$506,MATCH(68,'Content calendar'!$P$7:$P$506,0))&amp;"","")</f>
        <v/>
      </c>
      <c r="D69" s="49">
        <f>IFERROR(INDEX('Content calendar'!$L$7:$L$506,MATCH(68,'Content calendar'!$P$7:$P$506,0))&amp;"","")</f>
        <v/>
      </c>
      <c r="E69" s="49">
        <f>IFERROR(INDEX('Content calendar'!$O$7:$O$506,MATCH(68,'Content calendar'!$P$7:$P$506,0))&amp;"","")</f>
        <v/>
      </c>
    </row>
    <row r="70">
      <c r="A70" s="49">
        <f>IFERROR(INDEX('Content calendar'!$H$7:$H$506,MATCH(69,'Content calendar'!$P$7:$P$506,0))&amp;"","")</f>
        <v/>
      </c>
      <c r="B70" s="49">
        <f>IFERROR(YEAR(INDEX('Content calendar'!$A$7:$A$506,MATCH(69,'Content calendar'!$P$7:$P$506,0)))&amp;"-"&amp;TEXT(MONTH(INDEX('Content calendar'!$A$7:$A$506,MATCH(69,'Content calendar'!$P$7:$P$506,0))),"00")&amp;"-"&amp;TEXT(DAY(INDEX('Content calendar'!$A$7:$A$506,MATCH(69,'Content calendar'!$P$7:$P$506,0))),"00")&amp;" "&amp;TEXT(HOUR(INDEX('Content calendar'!$B$7:$B$506,MATCH(69,'Content calendar'!$P$7:$P$506,0))),"00")&amp;":"&amp;TEXT(MINUTE(INDEX('Content calendar'!$B$7:$B$506,MATCH(69,'Content calendar'!$P$7:$P$506,0))),"00"),"")</f>
        <v/>
      </c>
      <c r="C70" s="49">
        <f>IFERROR(INDEX('Content calendar'!$K$7:$K$506,MATCH(69,'Content calendar'!$P$7:$P$506,0))&amp;"","")</f>
        <v/>
      </c>
      <c r="D70" s="49">
        <f>IFERROR(INDEX('Content calendar'!$L$7:$L$506,MATCH(69,'Content calendar'!$P$7:$P$506,0))&amp;"","")</f>
        <v/>
      </c>
      <c r="E70" s="49">
        <f>IFERROR(INDEX('Content calendar'!$O$7:$O$506,MATCH(69,'Content calendar'!$P$7:$P$506,0))&amp;"","")</f>
        <v/>
      </c>
    </row>
    <row r="71">
      <c r="A71" s="49">
        <f>IFERROR(INDEX('Content calendar'!$H$7:$H$506,MATCH(70,'Content calendar'!$P$7:$P$506,0))&amp;"","")</f>
        <v/>
      </c>
      <c r="B71" s="49">
        <f>IFERROR(YEAR(INDEX('Content calendar'!$A$7:$A$506,MATCH(70,'Content calendar'!$P$7:$P$506,0)))&amp;"-"&amp;TEXT(MONTH(INDEX('Content calendar'!$A$7:$A$506,MATCH(70,'Content calendar'!$P$7:$P$506,0))),"00")&amp;"-"&amp;TEXT(DAY(INDEX('Content calendar'!$A$7:$A$506,MATCH(70,'Content calendar'!$P$7:$P$506,0))),"00")&amp;" "&amp;TEXT(HOUR(INDEX('Content calendar'!$B$7:$B$506,MATCH(70,'Content calendar'!$P$7:$P$506,0))),"00")&amp;":"&amp;TEXT(MINUTE(INDEX('Content calendar'!$B$7:$B$506,MATCH(70,'Content calendar'!$P$7:$P$506,0))),"00"),"")</f>
        <v/>
      </c>
      <c r="C71" s="49">
        <f>IFERROR(INDEX('Content calendar'!$K$7:$K$506,MATCH(70,'Content calendar'!$P$7:$P$506,0))&amp;"","")</f>
        <v/>
      </c>
      <c r="D71" s="49">
        <f>IFERROR(INDEX('Content calendar'!$L$7:$L$506,MATCH(70,'Content calendar'!$P$7:$P$506,0))&amp;"","")</f>
        <v/>
      </c>
      <c r="E71" s="49">
        <f>IFERROR(INDEX('Content calendar'!$O$7:$O$506,MATCH(70,'Content calendar'!$P$7:$P$506,0))&amp;"","")</f>
        <v/>
      </c>
    </row>
    <row r="72">
      <c r="A72" s="49">
        <f>IFERROR(INDEX('Content calendar'!$H$7:$H$506,MATCH(71,'Content calendar'!$P$7:$P$506,0))&amp;"","")</f>
        <v/>
      </c>
      <c r="B72" s="49">
        <f>IFERROR(YEAR(INDEX('Content calendar'!$A$7:$A$506,MATCH(71,'Content calendar'!$P$7:$P$506,0)))&amp;"-"&amp;TEXT(MONTH(INDEX('Content calendar'!$A$7:$A$506,MATCH(71,'Content calendar'!$P$7:$P$506,0))),"00")&amp;"-"&amp;TEXT(DAY(INDEX('Content calendar'!$A$7:$A$506,MATCH(71,'Content calendar'!$P$7:$P$506,0))),"00")&amp;" "&amp;TEXT(HOUR(INDEX('Content calendar'!$B$7:$B$506,MATCH(71,'Content calendar'!$P$7:$P$506,0))),"00")&amp;":"&amp;TEXT(MINUTE(INDEX('Content calendar'!$B$7:$B$506,MATCH(71,'Content calendar'!$P$7:$P$506,0))),"00"),"")</f>
        <v/>
      </c>
      <c r="C72" s="49">
        <f>IFERROR(INDEX('Content calendar'!$K$7:$K$506,MATCH(71,'Content calendar'!$P$7:$P$506,0))&amp;"","")</f>
        <v/>
      </c>
      <c r="D72" s="49">
        <f>IFERROR(INDEX('Content calendar'!$L$7:$L$506,MATCH(71,'Content calendar'!$P$7:$P$506,0))&amp;"","")</f>
        <v/>
      </c>
      <c r="E72" s="49">
        <f>IFERROR(INDEX('Content calendar'!$O$7:$O$506,MATCH(71,'Content calendar'!$P$7:$P$506,0))&amp;"","")</f>
        <v/>
      </c>
    </row>
    <row r="73">
      <c r="A73" s="49">
        <f>IFERROR(INDEX('Content calendar'!$H$7:$H$506,MATCH(72,'Content calendar'!$P$7:$P$506,0))&amp;"","")</f>
        <v/>
      </c>
      <c r="B73" s="49">
        <f>IFERROR(YEAR(INDEX('Content calendar'!$A$7:$A$506,MATCH(72,'Content calendar'!$P$7:$P$506,0)))&amp;"-"&amp;TEXT(MONTH(INDEX('Content calendar'!$A$7:$A$506,MATCH(72,'Content calendar'!$P$7:$P$506,0))),"00")&amp;"-"&amp;TEXT(DAY(INDEX('Content calendar'!$A$7:$A$506,MATCH(72,'Content calendar'!$P$7:$P$506,0))),"00")&amp;" "&amp;TEXT(HOUR(INDEX('Content calendar'!$B$7:$B$506,MATCH(72,'Content calendar'!$P$7:$P$506,0))),"00")&amp;":"&amp;TEXT(MINUTE(INDEX('Content calendar'!$B$7:$B$506,MATCH(72,'Content calendar'!$P$7:$P$506,0))),"00"),"")</f>
        <v/>
      </c>
      <c r="C73" s="49">
        <f>IFERROR(INDEX('Content calendar'!$K$7:$K$506,MATCH(72,'Content calendar'!$P$7:$P$506,0))&amp;"","")</f>
        <v/>
      </c>
      <c r="D73" s="49">
        <f>IFERROR(INDEX('Content calendar'!$L$7:$L$506,MATCH(72,'Content calendar'!$P$7:$P$506,0))&amp;"","")</f>
        <v/>
      </c>
      <c r="E73" s="49">
        <f>IFERROR(INDEX('Content calendar'!$O$7:$O$506,MATCH(72,'Content calendar'!$P$7:$P$506,0))&amp;"","")</f>
        <v/>
      </c>
    </row>
    <row r="74">
      <c r="A74" s="49">
        <f>IFERROR(INDEX('Content calendar'!$H$7:$H$506,MATCH(73,'Content calendar'!$P$7:$P$506,0))&amp;"","")</f>
        <v/>
      </c>
      <c r="B74" s="49">
        <f>IFERROR(YEAR(INDEX('Content calendar'!$A$7:$A$506,MATCH(73,'Content calendar'!$P$7:$P$506,0)))&amp;"-"&amp;TEXT(MONTH(INDEX('Content calendar'!$A$7:$A$506,MATCH(73,'Content calendar'!$P$7:$P$506,0))),"00")&amp;"-"&amp;TEXT(DAY(INDEX('Content calendar'!$A$7:$A$506,MATCH(73,'Content calendar'!$P$7:$P$506,0))),"00")&amp;" "&amp;TEXT(HOUR(INDEX('Content calendar'!$B$7:$B$506,MATCH(73,'Content calendar'!$P$7:$P$506,0))),"00")&amp;":"&amp;TEXT(MINUTE(INDEX('Content calendar'!$B$7:$B$506,MATCH(73,'Content calendar'!$P$7:$P$506,0))),"00"),"")</f>
        <v/>
      </c>
      <c r="C74" s="49">
        <f>IFERROR(INDEX('Content calendar'!$K$7:$K$506,MATCH(73,'Content calendar'!$P$7:$P$506,0))&amp;"","")</f>
        <v/>
      </c>
      <c r="D74" s="49">
        <f>IFERROR(INDEX('Content calendar'!$L$7:$L$506,MATCH(73,'Content calendar'!$P$7:$P$506,0))&amp;"","")</f>
        <v/>
      </c>
      <c r="E74" s="49">
        <f>IFERROR(INDEX('Content calendar'!$O$7:$O$506,MATCH(73,'Content calendar'!$P$7:$P$506,0))&amp;"","")</f>
        <v/>
      </c>
    </row>
    <row r="75">
      <c r="A75" s="49">
        <f>IFERROR(INDEX('Content calendar'!$H$7:$H$506,MATCH(74,'Content calendar'!$P$7:$P$506,0))&amp;"","")</f>
        <v/>
      </c>
      <c r="B75" s="49">
        <f>IFERROR(YEAR(INDEX('Content calendar'!$A$7:$A$506,MATCH(74,'Content calendar'!$P$7:$P$506,0)))&amp;"-"&amp;TEXT(MONTH(INDEX('Content calendar'!$A$7:$A$506,MATCH(74,'Content calendar'!$P$7:$P$506,0))),"00")&amp;"-"&amp;TEXT(DAY(INDEX('Content calendar'!$A$7:$A$506,MATCH(74,'Content calendar'!$P$7:$P$506,0))),"00")&amp;" "&amp;TEXT(HOUR(INDEX('Content calendar'!$B$7:$B$506,MATCH(74,'Content calendar'!$P$7:$P$506,0))),"00")&amp;":"&amp;TEXT(MINUTE(INDEX('Content calendar'!$B$7:$B$506,MATCH(74,'Content calendar'!$P$7:$P$506,0))),"00"),"")</f>
        <v/>
      </c>
      <c r="C75" s="49">
        <f>IFERROR(INDEX('Content calendar'!$K$7:$K$506,MATCH(74,'Content calendar'!$P$7:$P$506,0))&amp;"","")</f>
        <v/>
      </c>
      <c r="D75" s="49">
        <f>IFERROR(INDEX('Content calendar'!$L$7:$L$506,MATCH(74,'Content calendar'!$P$7:$P$506,0))&amp;"","")</f>
        <v/>
      </c>
      <c r="E75" s="49">
        <f>IFERROR(INDEX('Content calendar'!$O$7:$O$506,MATCH(74,'Content calendar'!$P$7:$P$506,0))&amp;"","")</f>
        <v/>
      </c>
    </row>
    <row r="76">
      <c r="A76" s="49">
        <f>IFERROR(INDEX('Content calendar'!$H$7:$H$506,MATCH(75,'Content calendar'!$P$7:$P$506,0))&amp;"","")</f>
        <v/>
      </c>
      <c r="B76" s="49">
        <f>IFERROR(YEAR(INDEX('Content calendar'!$A$7:$A$506,MATCH(75,'Content calendar'!$P$7:$P$506,0)))&amp;"-"&amp;TEXT(MONTH(INDEX('Content calendar'!$A$7:$A$506,MATCH(75,'Content calendar'!$P$7:$P$506,0))),"00")&amp;"-"&amp;TEXT(DAY(INDEX('Content calendar'!$A$7:$A$506,MATCH(75,'Content calendar'!$P$7:$P$506,0))),"00")&amp;" "&amp;TEXT(HOUR(INDEX('Content calendar'!$B$7:$B$506,MATCH(75,'Content calendar'!$P$7:$P$506,0))),"00")&amp;":"&amp;TEXT(MINUTE(INDEX('Content calendar'!$B$7:$B$506,MATCH(75,'Content calendar'!$P$7:$P$506,0))),"00"),"")</f>
        <v/>
      </c>
      <c r="C76" s="49">
        <f>IFERROR(INDEX('Content calendar'!$K$7:$K$506,MATCH(75,'Content calendar'!$P$7:$P$506,0))&amp;"","")</f>
        <v/>
      </c>
      <c r="D76" s="49">
        <f>IFERROR(INDEX('Content calendar'!$L$7:$L$506,MATCH(75,'Content calendar'!$P$7:$P$506,0))&amp;"","")</f>
        <v/>
      </c>
      <c r="E76" s="49">
        <f>IFERROR(INDEX('Content calendar'!$O$7:$O$506,MATCH(75,'Content calendar'!$P$7:$P$506,0))&amp;"","")</f>
        <v/>
      </c>
    </row>
    <row r="77">
      <c r="A77" s="49">
        <f>IFERROR(INDEX('Content calendar'!$H$7:$H$506,MATCH(76,'Content calendar'!$P$7:$P$506,0))&amp;"","")</f>
        <v/>
      </c>
      <c r="B77" s="49">
        <f>IFERROR(YEAR(INDEX('Content calendar'!$A$7:$A$506,MATCH(76,'Content calendar'!$P$7:$P$506,0)))&amp;"-"&amp;TEXT(MONTH(INDEX('Content calendar'!$A$7:$A$506,MATCH(76,'Content calendar'!$P$7:$P$506,0))),"00")&amp;"-"&amp;TEXT(DAY(INDEX('Content calendar'!$A$7:$A$506,MATCH(76,'Content calendar'!$P$7:$P$506,0))),"00")&amp;" "&amp;TEXT(HOUR(INDEX('Content calendar'!$B$7:$B$506,MATCH(76,'Content calendar'!$P$7:$P$506,0))),"00")&amp;":"&amp;TEXT(MINUTE(INDEX('Content calendar'!$B$7:$B$506,MATCH(76,'Content calendar'!$P$7:$P$506,0))),"00"),"")</f>
        <v/>
      </c>
      <c r="C77" s="49">
        <f>IFERROR(INDEX('Content calendar'!$K$7:$K$506,MATCH(76,'Content calendar'!$P$7:$P$506,0))&amp;"","")</f>
        <v/>
      </c>
      <c r="D77" s="49">
        <f>IFERROR(INDEX('Content calendar'!$L$7:$L$506,MATCH(76,'Content calendar'!$P$7:$P$506,0))&amp;"","")</f>
        <v/>
      </c>
      <c r="E77" s="49">
        <f>IFERROR(INDEX('Content calendar'!$O$7:$O$506,MATCH(76,'Content calendar'!$P$7:$P$506,0))&amp;"","")</f>
        <v/>
      </c>
    </row>
    <row r="78">
      <c r="A78" s="49">
        <f>IFERROR(INDEX('Content calendar'!$H$7:$H$506,MATCH(77,'Content calendar'!$P$7:$P$506,0))&amp;"","")</f>
        <v/>
      </c>
      <c r="B78" s="49">
        <f>IFERROR(YEAR(INDEX('Content calendar'!$A$7:$A$506,MATCH(77,'Content calendar'!$P$7:$P$506,0)))&amp;"-"&amp;TEXT(MONTH(INDEX('Content calendar'!$A$7:$A$506,MATCH(77,'Content calendar'!$P$7:$P$506,0))),"00")&amp;"-"&amp;TEXT(DAY(INDEX('Content calendar'!$A$7:$A$506,MATCH(77,'Content calendar'!$P$7:$P$506,0))),"00")&amp;" "&amp;TEXT(HOUR(INDEX('Content calendar'!$B$7:$B$506,MATCH(77,'Content calendar'!$P$7:$P$506,0))),"00")&amp;":"&amp;TEXT(MINUTE(INDEX('Content calendar'!$B$7:$B$506,MATCH(77,'Content calendar'!$P$7:$P$506,0))),"00"),"")</f>
        <v/>
      </c>
      <c r="C78" s="49">
        <f>IFERROR(INDEX('Content calendar'!$K$7:$K$506,MATCH(77,'Content calendar'!$P$7:$P$506,0))&amp;"","")</f>
        <v/>
      </c>
      <c r="D78" s="49">
        <f>IFERROR(INDEX('Content calendar'!$L$7:$L$506,MATCH(77,'Content calendar'!$P$7:$P$506,0))&amp;"","")</f>
        <v/>
      </c>
      <c r="E78" s="49">
        <f>IFERROR(INDEX('Content calendar'!$O$7:$O$506,MATCH(77,'Content calendar'!$P$7:$P$506,0))&amp;"","")</f>
        <v/>
      </c>
    </row>
    <row r="79">
      <c r="A79" s="49">
        <f>IFERROR(INDEX('Content calendar'!$H$7:$H$506,MATCH(78,'Content calendar'!$P$7:$P$506,0))&amp;"","")</f>
        <v/>
      </c>
      <c r="B79" s="49">
        <f>IFERROR(YEAR(INDEX('Content calendar'!$A$7:$A$506,MATCH(78,'Content calendar'!$P$7:$P$506,0)))&amp;"-"&amp;TEXT(MONTH(INDEX('Content calendar'!$A$7:$A$506,MATCH(78,'Content calendar'!$P$7:$P$506,0))),"00")&amp;"-"&amp;TEXT(DAY(INDEX('Content calendar'!$A$7:$A$506,MATCH(78,'Content calendar'!$P$7:$P$506,0))),"00")&amp;" "&amp;TEXT(HOUR(INDEX('Content calendar'!$B$7:$B$506,MATCH(78,'Content calendar'!$P$7:$P$506,0))),"00")&amp;":"&amp;TEXT(MINUTE(INDEX('Content calendar'!$B$7:$B$506,MATCH(78,'Content calendar'!$P$7:$P$506,0))),"00"),"")</f>
        <v/>
      </c>
      <c r="C79" s="49">
        <f>IFERROR(INDEX('Content calendar'!$K$7:$K$506,MATCH(78,'Content calendar'!$P$7:$P$506,0))&amp;"","")</f>
        <v/>
      </c>
      <c r="D79" s="49">
        <f>IFERROR(INDEX('Content calendar'!$L$7:$L$506,MATCH(78,'Content calendar'!$P$7:$P$506,0))&amp;"","")</f>
        <v/>
      </c>
      <c r="E79" s="49">
        <f>IFERROR(INDEX('Content calendar'!$O$7:$O$506,MATCH(78,'Content calendar'!$P$7:$P$506,0))&amp;"","")</f>
        <v/>
      </c>
    </row>
    <row r="80">
      <c r="A80" s="49">
        <f>IFERROR(INDEX('Content calendar'!$H$7:$H$506,MATCH(79,'Content calendar'!$P$7:$P$506,0))&amp;"","")</f>
        <v/>
      </c>
      <c r="B80" s="49">
        <f>IFERROR(YEAR(INDEX('Content calendar'!$A$7:$A$506,MATCH(79,'Content calendar'!$P$7:$P$506,0)))&amp;"-"&amp;TEXT(MONTH(INDEX('Content calendar'!$A$7:$A$506,MATCH(79,'Content calendar'!$P$7:$P$506,0))),"00")&amp;"-"&amp;TEXT(DAY(INDEX('Content calendar'!$A$7:$A$506,MATCH(79,'Content calendar'!$P$7:$P$506,0))),"00")&amp;" "&amp;TEXT(HOUR(INDEX('Content calendar'!$B$7:$B$506,MATCH(79,'Content calendar'!$P$7:$P$506,0))),"00")&amp;":"&amp;TEXT(MINUTE(INDEX('Content calendar'!$B$7:$B$506,MATCH(79,'Content calendar'!$P$7:$P$506,0))),"00"),"")</f>
        <v/>
      </c>
      <c r="C80" s="49">
        <f>IFERROR(INDEX('Content calendar'!$K$7:$K$506,MATCH(79,'Content calendar'!$P$7:$P$506,0))&amp;"","")</f>
        <v/>
      </c>
      <c r="D80" s="49">
        <f>IFERROR(INDEX('Content calendar'!$L$7:$L$506,MATCH(79,'Content calendar'!$P$7:$P$506,0))&amp;"","")</f>
        <v/>
      </c>
      <c r="E80" s="49">
        <f>IFERROR(INDEX('Content calendar'!$O$7:$O$506,MATCH(79,'Content calendar'!$P$7:$P$506,0))&amp;"","")</f>
        <v/>
      </c>
    </row>
    <row r="81">
      <c r="A81" s="49">
        <f>IFERROR(INDEX('Content calendar'!$H$7:$H$506,MATCH(80,'Content calendar'!$P$7:$P$506,0))&amp;"","")</f>
        <v/>
      </c>
      <c r="B81" s="49">
        <f>IFERROR(YEAR(INDEX('Content calendar'!$A$7:$A$506,MATCH(80,'Content calendar'!$P$7:$P$506,0)))&amp;"-"&amp;TEXT(MONTH(INDEX('Content calendar'!$A$7:$A$506,MATCH(80,'Content calendar'!$P$7:$P$506,0))),"00")&amp;"-"&amp;TEXT(DAY(INDEX('Content calendar'!$A$7:$A$506,MATCH(80,'Content calendar'!$P$7:$P$506,0))),"00")&amp;" "&amp;TEXT(HOUR(INDEX('Content calendar'!$B$7:$B$506,MATCH(80,'Content calendar'!$P$7:$P$506,0))),"00")&amp;":"&amp;TEXT(MINUTE(INDEX('Content calendar'!$B$7:$B$506,MATCH(80,'Content calendar'!$P$7:$P$506,0))),"00"),"")</f>
        <v/>
      </c>
      <c r="C81" s="49">
        <f>IFERROR(INDEX('Content calendar'!$K$7:$K$506,MATCH(80,'Content calendar'!$P$7:$P$506,0))&amp;"","")</f>
        <v/>
      </c>
      <c r="D81" s="49">
        <f>IFERROR(INDEX('Content calendar'!$L$7:$L$506,MATCH(80,'Content calendar'!$P$7:$P$506,0))&amp;"","")</f>
        <v/>
      </c>
      <c r="E81" s="49">
        <f>IFERROR(INDEX('Content calendar'!$O$7:$O$506,MATCH(80,'Content calendar'!$P$7:$P$506,0))&amp;"","")</f>
        <v/>
      </c>
    </row>
    <row r="82">
      <c r="A82" s="49">
        <f>IFERROR(INDEX('Content calendar'!$H$7:$H$506,MATCH(81,'Content calendar'!$P$7:$P$506,0))&amp;"","")</f>
        <v/>
      </c>
      <c r="B82" s="49">
        <f>IFERROR(YEAR(INDEX('Content calendar'!$A$7:$A$506,MATCH(81,'Content calendar'!$P$7:$P$506,0)))&amp;"-"&amp;TEXT(MONTH(INDEX('Content calendar'!$A$7:$A$506,MATCH(81,'Content calendar'!$P$7:$P$506,0))),"00")&amp;"-"&amp;TEXT(DAY(INDEX('Content calendar'!$A$7:$A$506,MATCH(81,'Content calendar'!$P$7:$P$506,0))),"00")&amp;" "&amp;TEXT(HOUR(INDEX('Content calendar'!$B$7:$B$506,MATCH(81,'Content calendar'!$P$7:$P$506,0))),"00")&amp;":"&amp;TEXT(MINUTE(INDEX('Content calendar'!$B$7:$B$506,MATCH(81,'Content calendar'!$P$7:$P$506,0))),"00"),"")</f>
        <v/>
      </c>
      <c r="C82" s="49">
        <f>IFERROR(INDEX('Content calendar'!$K$7:$K$506,MATCH(81,'Content calendar'!$P$7:$P$506,0))&amp;"","")</f>
        <v/>
      </c>
      <c r="D82" s="49">
        <f>IFERROR(INDEX('Content calendar'!$L$7:$L$506,MATCH(81,'Content calendar'!$P$7:$P$506,0))&amp;"","")</f>
        <v/>
      </c>
      <c r="E82" s="49">
        <f>IFERROR(INDEX('Content calendar'!$O$7:$O$506,MATCH(81,'Content calendar'!$P$7:$P$506,0))&amp;"","")</f>
        <v/>
      </c>
    </row>
    <row r="83">
      <c r="A83" s="49">
        <f>IFERROR(INDEX('Content calendar'!$H$7:$H$506,MATCH(82,'Content calendar'!$P$7:$P$506,0))&amp;"","")</f>
        <v/>
      </c>
      <c r="B83" s="49">
        <f>IFERROR(YEAR(INDEX('Content calendar'!$A$7:$A$506,MATCH(82,'Content calendar'!$P$7:$P$506,0)))&amp;"-"&amp;TEXT(MONTH(INDEX('Content calendar'!$A$7:$A$506,MATCH(82,'Content calendar'!$P$7:$P$506,0))),"00")&amp;"-"&amp;TEXT(DAY(INDEX('Content calendar'!$A$7:$A$506,MATCH(82,'Content calendar'!$P$7:$P$506,0))),"00")&amp;" "&amp;TEXT(HOUR(INDEX('Content calendar'!$B$7:$B$506,MATCH(82,'Content calendar'!$P$7:$P$506,0))),"00")&amp;":"&amp;TEXT(MINUTE(INDEX('Content calendar'!$B$7:$B$506,MATCH(82,'Content calendar'!$P$7:$P$506,0))),"00"),"")</f>
        <v/>
      </c>
      <c r="C83" s="49">
        <f>IFERROR(INDEX('Content calendar'!$K$7:$K$506,MATCH(82,'Content calendar'!$P$7:$P$506,0))&amp;"","")</f>
        <v/>
      </c>
      <c r="D83" s="49">
        <f>IFERROR(INDEX('Content calendar'!$L$7:$L$506,MATCH(82,'Content calendar'!$P$7:$P$506,0))&amp;"","")</f>
        <v/>
      </c>
      <c r="E83" s="49">
        <f>IFERROR(INDEX('Content calendar'!$O$7:$O$506,MATCH(82,'Content calendar'!$P$7:$P$506,0))&amp;"","")</f>
        <v/>
      </c>
    </row>
    <row r="84">
      <c r="A84" s="49">
        <f>IFERROR(INDEX('Content calendar'!$H$7:$H$506,MATCH(83,'Content calendar'!$P$7:$P$506,0))&amp;"","")</f>
        <v/>
      </c>
      <c r="B84" s="49">
        <f>IFERROR(YEAR(INDEX('Content calendar'!$A$7:$A$506,MATCH(83,'Content calendar'!$P$7:$P$506,0)))&amp;"-"&amp;TEXT(MONTH(INDEX('Content calendar'!$A$7:$A$506,MATCH(83,'Content calendar'!$P$7:$P$506,0))),"00")&amp;"-"&amp;TEXT(DAY(INDEX('Content calendar'!$A$7:$A$506,MATCH(83,'Content calendar'!$P$7:$P$506,0))),"00")&amp;" "&amp;TEXT(HOUR(INDEX('Content calendar'!$B$7:$B$506,MATCH(83,'Content calendar'!$P$7:$P$506,0))),"00")&amp;":"&amp;TEXT(MINUTE(INDEX('Content calendar'!$B$7:$B$506,MATCH(83,'Content calendar'!$P$7:$P$506,0))),"00"),"")</f>
        <v/>
      </c>
      <c r="C84" s="49">
        <f>IFERROR(INDEX('Content calendar'!$K$7:$K$506,MATCH(83,'Content calendar'!$P$7:$P$506,0))&amp;"","")</f>
        <v/>
      </c>
      <c r="D84" s="49">
        <f>IFERROR(INDEX('Content calendar'!$L$7:$L$506,MATCH(83,'Content calendar'!$P$7:$P$506,0))&amp;"","")</f>
        <v/>
      </c>
      <c r="E84" s="49">
        <f>IFERROR(INDEX('Content calendar'!$O$7:$O$506,MATCH(83,'Content calendar'!$P$7:$P$506,0))&amp;"","")</f>
        <v/>
      </c>
    </row>
    <row r="85">
      <c r="A85" s="49">
        <f>IFERROR(INDEX('Content calendar'!$H$7:$H$506,MATCH(84,'Content calendar'!$P$7:$P$506,0))&amp;"","")</f>
        <v/>
      </c>
      <c r="B85" s="49">
        <f>IFERROR(YEAR(INDEX('Content calendar'!$A$7:$A$506,MATCH(84,'Content calendar'!$P$7:$P$506,0)))&amp;"-"&amp;TEXT(MONTH(INDEX('Content calendar'!$A$7:$A$506,MATCH(84,'Content calendar'!$P$7:$P$506,0))),"00")&amp;"-"&amp;TEXT(DAY(INDEX('Content calendar'!$A$7:$A$506,MATCH(84,'Content calendar'!$P$7:$P$506,0))),"00")&amp;" "&amp;TEXT(HOUR(INDEX('Content calendar'!$B$7:$B$506,MATCH(84,'Content calendar'!$P$7:$P$506,0))),"00")&amp;":"&amp;TEXT(MINUTE(INDEX('Content calendar'!$B$7:$B$506,MATCH(84,'Content calendar'!$P$7:$P$506,0))),"00"),"")</f>
        <v/>
      </c>
      <c r="C85" s="49">
        <f>IFERROR(INDEX('Content calendar'!$K$7:$K$506,MATCH(84,'Content calendar'!$P$7:$P$506,0))&amp;"","")</f>
        <v/>
      </c>
      <c r="D85" s="49">
        <f>IFERROR(INDEX('Content calendar'!$L$7:$L$506,MATCH(84,'Content calendar'!$P$7:$P$506,0))&amp;"","")</f>
        <v/>
      </c>
      <c r="E85" s="49">
        <f>IFERROR(INDEX('Content calendar'!$O$7:$O$506,MATCH(84,'Content calendar'!$P$7:$P$506,0))&amp;"","")</f>
        <v/>
      </c>
    </row>
    <row r="86">
      <c r="A86" s="49">
        <f>IFERROR(INDEX('Content calendar'!$H$7:$H$506,MATCH(85,'Content calendar'!$P$7:$P$506,0))&amp;"","")</f>
        <v/>
      </c>
      <c r="B86" s="49">
        <f>IFERROR(YEAR(INDEX('Content calendar'!$A$7:$A$506,MATCH(85,'Content calendar'!$P$7:$P$506,0)))&amp;"-"&amp;TEXT(MONTH(INDEX('Content calendar'!$A$7:$A$506,MATCH(85,'Content calendar'!$P$7:$P$506,0))),"00")&amp;"-"&amp;TEXT(DAY(INDEX('Content calendar'!$A$7:$A$506,MATCH(85,'Content calendar'!$P$7:$P$506,0))),"00")&amp;" "&amp;TEXT(HOUR(INDEX('Content calendar'!$B$7:$B$506,MATCH(85,'Content calendar'!$P$7:$P$506,0))),"00")&amp;":"&amp;TEXT(MINUTE(INDEX('Content calendar'!$B$7:$B$506,MATCH(85,'Content calendar'!$P$7:$P$506,0))),"00"),"")</f>
        <v/>
      </c>
      <c r="C86" s="49">
        <f>IFERROR(INDEX('Content calendar'!$K$7:$K$506,MATCH(85,'Content calendar'!$P$7:$P$506,0))&amp;"","")</f>
        <v/>
      </c>
      <c r="D86" s="49">
        <f>IFERROR(INDEX('Content calendar'!$L$7:$L$506,MATCH(85,'Content calendar'!$P$7:$P$506,0))&amp;"","")</f>
        <v/>
      </c>
      <c r="E86" s="49">
        <f>IFERROR(INDEX('Content calendar'!$O$7:$O$506,MATCH(85,'Content calendar'!$P$7:$P$506,0))&amp;"","")</f>
        <v/>
      </c>
    </row>
    <row r="87">
      <c r="A87" s="49">
        <f>IFERROR(INDEX('Content calendar'!$H$7:$H$506,MATCH(86,'Content calendar'!$P$7:$P$506,0))&amp;"","")</f>
        <v/>
      </c>
      <c r="B87" s="49">
        <f>IFERROR(YEAR(INDEX('Content calendar'!$A$7:$A$506,MATCH(86,'Content calendar'!$P$7:$P$506,0)))&amp;"-"&amp;TEXT(MONTH(INDEX('Content calendar'!$A$7:$A$506,MATCH(86,'Content calendar'!$P$7:$P$506,0))),"00")&amp;"-"&amp;TEXT(DAY(INDEX('Content calendar'!$A$7:$A$506,MATCH(86,'Content calendar'!$P$7:$P$506,0))),"00")&amp;" "&amp;TEXT(HOUR(INDEX('Content calendar'!$B$7:$B$506,MATCH(86,'Content calendar'!$P$7:$P$506,0))),"00")&amp;":"&amp;TEXT(MINUTE(INDEX('Content calendar'!$B$7:$B$506,MATCH(86,'Content calendar'!$P$7:$P$506,0))),"00"),"")</f>
        <v/>
      </c>
      <c r="C87" s="49">
        <f>IFERROR(INDEX('Content calendar'!$K$7:$K$506,MATCH(86,'Content calendar'!$P$7:$P$506,0))&amp;"","")</f>
        <v/>
      </c>
      <c r="D87" s="49">
        <f>IFERROR(INDEX('Content calendar'!$L$7:$L$506,MATCH(86,'Content calendar'!$P$7:$P$506,0))&amp;"","")</f>
        <v/>
      </c>
      <c r="E87" s="49">
        <f>IFERROR(INDEX('Content calendar'!$O$7:$O$506,MATCH(86,'Content calendar'!$P$7:$P$506,0))&amp;"","")</f>
        <v/>
      </c>
    </row>
    <row r="88">
      <c r="A88" s="49">
        <f>IFERROR(INDEX('Content calendar'!$H$7:$H$506,MATCH(87,'Content calendar'!$P$7:$P$506,0))&amp;"","")</f>
        <v/>
      </c>
      <c r="B88" s="49">
        <f>IFERROR(YEAR(INDEX('Content calendar'!$A$7:$A$506,MATCH(87,'Content calendar'!$P$7:$P$506,0)))&amp;"-"&amp;TEXT(MONTH(INDEX('Content calendar'!$A$7:$A$506,MATCH(87,'Content calendar'!$P$7:$P$506,0))),"00")&amp;"-"&amp;TEXT(DAY(INDEX('Content calendar'!$A$7:$A$506,MATCH(87,'Content calendar'!$P$7:$P$506,0))),"00")&amp;" "&amp;TEXT(HOUR(INDEX('Content calendar'!$B$7:$B$506,MATCH(87,'Content calendar'!$P$7:$P$506,0))),"00")&amp;":"&amp;TEXT(MINUTE(INDEX('Content calendar'!$B$7:$B$506,MATCH(87,'Content calendar'!$P$7:$P$506,0))),"00"),"")</f>
        <v/>
      </c>
      <c r="C88" s="49">
        <f>IFERROR(INDEX('Content calendar'!$K$7:$K$506,MATCH(87,'Content calendar'!$P$7:$P$506,0))&amp;"","")</f>
        <v/>
      </c>
      <c r="D88" s="49">
        <f>IFERROR(INDEX('Content calendar'!$L$7:$L$506,MATCH(87,'Content calendar'!$P$7:$P$506,0))&amp;"","")</f>
        <v/>
      </c>
      <c r="E88" s="49">
        <f>IFERROR(INDEX('Content calendar'!$O$7:$O$506,MATCH(87,'Content calendar'!$P$7:$P$506,0))&amp;"","")</f>
        <v/>
      </c>
    </row>
    <row r="89">
      <c r="A89" s="49">
        <f>IFERROR(INDEX('Content calendar'!$H$7:$H$506,MATCH(88,'Content calendar'!$P$7:$P$506,0))&amp;"","")</f>
        <v/>
      </c>
      <c r="B89" s="49">
        <f>IFERROR(YEAR(INDEX('Content calendar'!$A$7:$A$506,MATCH(88,'Content calendar'!$P$7:$P$506,0)))&amp;"-"&amp;TEXT(MONTH(INDEX('Content calendar'!$A$7:$A$506,MATCH(88,'Content calendar'!$P$7:$P$506,0))),"00")&amp;"-"&amp;TEXT(DAY(INDEX('Content calendar'!$A$7:$A$506,MATCH(88,'Content calendar'!$P$7:$P$506,0))),"00")&amp;" "&amp;TEXT(HOUR(INDEX('Content calendar'!$B$7:$B$506,MATCH(88,'Content calendar'!$P$7:$P$506,0))),"00")&amp;":"&amp;TEXT(MINUTE(INDEX('Content calendar'!$B$7:$B$506,MATCH(88,'Content calendar'!$P$7:$P$506,0))),"00"),"")</f>
        <v/>
      </c>
      <c r="C89" s="49">
        <f>IFERROR(INDEX('Content calendar'!$K$7:$K$506,MATCH(88,'Content calendar'!$P$7:$P$506,0))&amp;"","")</f>
        <v/>
      </c>
      <c r="D89" s="49">
        <f>IFERROR(INDEX('Content calendar'!$L$7:$L$506,MATCH(88,'Content calendar'!$P$7:$P$506,0))&amp;"","")</f>
        <v/>
      </c>
      <c r="E89" s="49">
        <f>IFERROR(INDEX('Content calendar'!$O$7:$O$506,MATCH(88,'Content calendar'!$P$7:$P$506,0))&amp;"","")</f>
        <v/>
      </c>
    </row>
    <row r="90">
      <c r="A90" s="49">
        <f>IFERROR(INDEX('Content calendar'!$H$7:$H$506,MATCH(89,'Content calendar'!$P$7:$P$506,0))&amp;"","")</f>
        <v/>
      </c>
      <c r="B90" s="49">
        <f>IFERROR(YEAR(INDEX('Content calendar'!$A$7:$A$506,MATCH(89,'Content calendar'!$P$7:$P$506,0)))&amp;"-"&amp;TEXT(MONTH(INDEX('Content calendar'!$A$7:$A$506,MATCH(89,'Content calendar'!$P$7:$P$506,0))),"00")&amp;"-"&amp;TEXT(DAY(INDEX('Content calendar'!$A$7:$A$506,MATCH(89,'Content calendar'!$P$7:$P$506,0))),"00")&amp;" "&amp;TEXT(HOUR(INDEX('Content calendar'!$B$7:$B$506,MATCH(89,'Content calendar'!$P$7:$P$506,0))),"00")&amp;":"&amp;TEXT(MINUTE(INDEX('Content calendar'!$B$7:$B$506,MATCH(89,'Content calendar'!$P$7:$P$506,0))),"00"),"")</f>
        <v/>
      </c>
      <c r="C90" s="49">
        <f>IFERROR(INDEX('Content calendar'!$K$7:$K$506,MATCH(89,'Content calendar'!$P$7:$P$506,0))&amp;"","")</f>
        <v/>
      </c>
      <c r="D90" s="49">
        <f>IFERROR(INDEX('Content calendar'!$L$7:$L$506,MATCH(89,'Content calendar'!$P$7:$P$506,0))&amp;"","")</f>
        <v/>
      </c>
      <c r="E90" s="49">
        <f>IFERROR(INDEX('Content calendar'!$O$7:$O$506,MATCH(89,'Content calendar'!$P$7:$P$506,0))&amp;"","")</f>
        <v/>
      </c>
    </row>
    <row r="91">
      <c r="A91" s="49">
        <f>IFERROR(INDEX('Content calendar'!$H$7:$H$506,MATCH(90,'Content calendar'!$P$7:$P$506,0))&amp;"","")</f>
        <v/>
      </c>
      <c r="B91" s="49">
        <f>IFERROR(YEAR(INDEX('Content calendar'!$A$7:$A$506,MATCH(90,'Content calendar'!$P$7:$P$506,0)))&amp;"-"&amp;TEXT(MONTH(INDEX('Content calendar'!$A$7:$A$506,MATCH(90,'Content calendar'!$P$7:$P$506,0))),"00")&amp;"-"&amp;TEXT(DAY(INDEX('Content calendar'!$A$7:$A$506,MATCH(90,'Content calendar'!$P$7:$P$506,0))),"00")&amp;" "&amp;TEXT(HOUR(INDEX('Content calendar'!$B$7:$B$506,MATCH(90,'Content calendar'!$P$7:$P$506,0))),"00")&amp;":"&amp;TEXT(MINUTE(INDEX('Content calendar'!$B$7:$B$506,MATCH(90,'Content calendar'!$P$7:$P$506,0))),"00"),"")</f>
        <v/>
      </c>
      <c r="C91" s="49">
        <f>IFERROR(INDEX('Content calendar'!$K$7:$K$506,MATCH(90,'Content calendar'!$P$7:$P$506,0))&amp;"","")</f>
        <v/>
      </c>
      <c r="D91" s="49">
        <f>IFERROR(INDEX('Content calendar'!$L$7:$L$506,MATCH(90,'Content calendar'!$P$7:$P$506,0))&amp;"","")</f>
        <v/>
      </c>
      <c r="E91" s="49">
        <f>IFERROR(INDEX('Content calendar'!$O$7:$O$506,MATCH(90,'Content calendar'!$P$7:$P$506,0))&amp;"","")</f>
        <v/>
      </c>
    </row>
    <row r="92">
      <c r="A92" s="49">
        <f>IFERROR(INDEX('Content calendar'!$H$7:$H$506,MATCH(91,'Content calendar'!$P$7:$P$506,0))&amp;"","")</f>
        <v/>
      </c>
      <c r="B92" s="49">
        <f>IFERROR(YEAR(INDEX('Content calendar'!$A$7:$A$506,MATCH(91,'Content calendar'!$P$7:$P$506,0)))&amp;"-"&amp;TEXT(MONTH(INDEX('Content calendar'!$A$7:$A$506,MATCH(91,'Content calendar'!$P$7:$P$506,0))),"00")&amp;"-"&amp;TEXT(DAY(INDEX('Content calendar'!$A$7:$A$506,MATCH(91,'Content calendar'!$P$7:$P$506,0))),"00")&amp;" "&amp;TEXT(HOUR(INDEX('Content calendar'!$B$7:$B$506,MATCH(91,'Content calendar'!$P$7:$P$506,0))),"00")&amp;":"&amp;TEXT(MINUTE(INDEX('Content calendar'!$B$7:$B$506,MATCH(91,'Content calendar'!$P$7:$P$506,0))),"00"),"")</f>
        <v/>
      </c>
      <c r="C92" s="49">
        <f>IFERROR(INDEX('Content calendar'!$K$7:$K$506,MATCH(91,'Content calendar'!$P$7:$P$506,0))&amp;"","")</f>
        <v/>
      </c>
      <c r="D92" s="49">
        <f>IFERROR(INDEX('Content calendar'!$L$7:$L$506,MATCH(91,'Content calendar'!$P$7:$P$506,0))&amp;"","")</f>
        <v/>
      </c>
      <c r="E92" s="49">
        <f>IFERROR(INDEX('Content calendar'!$O$7:$O$506,MATCH(91,'Content calendar'!$P$7:$P$506,0))&amp;"","")</f>
        <v/>
      </c>
    </row>
    <row r="93">
      <c r="A93" s="49">
        <f>IFERROR(INDEX('Content calendar'!$H$7:$H$506,MATCH(92,'Content calendar'!$P$7:$P$506,0))&amp;"","")</f>
        <v/>
      </c>
      <c r="B93" s="49">
        <f>IFERROR(YEAR(INDEX('Content calendar'!$A$7:$A$506,MATCH(92,'Content calendar'!$P$7:$P$506,0)))&amp;"-"&amp;TEXT(MONTH(INDEX('Content calendar'!$A$7:$A$506,MATCH(92,'Content calendar'!$P$7:$P$506,0))),"00")&amp;"-"&amp;TEXT(DAY(INDEX('Content calendar'!$A$7:$A$506,MATCH(92,'Content calendar'!$P$7:$P$506,0))),"00")&amp;" "&amp;TEXT(HOUR(INDEX('Content calendar'!$B$7:$B$506,MATCH(92,'Content calendar'!$P$7:$P$506,0))),"00")&amp;":"&amp;TEXT(MINUTE(INDEX('Content calendar'!$B$7:$B$506,MATCH(92,'Content calendar'!$P$7:$P$506,0))),"00"),"")</f>
        <v/>
      </c>
      <c r="C93" s="49">
        <f>IFERROR(INDEX('Content calendar'!$K$7:$K$506,MATCH(92,'Content calendar'!$P$7:$P$506,0))&amp;"","")</f>
        <v/>
      </c>
      <c r="D93" s="49">
        <f>IFERROR(INDEX('Content calendar'!$L$7:$L$506,MATCH(92,'Content calendar'!$P$7:$P$506,0))&amp;"","")</f>
        <v/>
      </c>
      <c r="E93" s="49">
        <f>IFERROR(INDEX('Content calendar'!$O$7:$O$506,MATCH(92,'Content calendar'!$P$7:$P$506,0))&amp;"","")</f>
        <v/>
      </c>
    </row>
    <row r="94">
      <c r="A94" s="49">
        <f>IFERROR(INDEX('Content calendar'!$H$7:$H$506,MATCH(93,'Content calendar'!$P$7:$P$506,0))&amp;"","")</f>
        <v/>
      </c>
      <c r="B94" s="49">
        <f>IFERROR(YEAR(INDEX('Content calendar'!$A$7:$A$506,MATCH(93,'Content calendar'!$P$7:$P$506,0)))&amp;"-"&amp;TEXT(MONTH(INDEX('Content calendar'!$A$7:$A$506,MATCH(93,'Content calendar'!$P$7:$P$506,0))),"00")&amp;"-"&amp;TEXT(DAY(INDEX('Content calendar'!$A$7:$A$506,MATCH(93,'Content calendar'!$P$7:$P$506,0))),"00")&amp;" "&amp;TEXT(HOUR(INDEX('Content calendar'!$B$7:$B$506,MATCH(93,'Content calendar'!$P$7:$P$506,0))),"00")&amp;":"&amp;TEXT(MINUTE(INDEX('Content calendar'!$B$7:$B$506,MATCH(93,'Content calendar'!$P$7:$P$506,0))),"00"),"")</f>
        <v/>
      </c>
      <c r="C94" s="49">
        <f>IFERROR(INDEX('Content calendar'!$K$7:$K$506,MATCH(93,'Content calendar'!$P$7:$P$506,0))&amp;"","")</f>
        <v/>
      </c>
      <c r="D94" s="49">
        <f>IFERROR(INDEX('Content calendar'!$L$7:$L$506,MATCH(93,'Content calendar'!$P$7:$P$506,0))&amp;"","")</f>
        <v/>
      </c>
      <c r="E94" s="49">
        <f>IFERROR(INDEX('Content calendar'!$O$7:$O$506,MATCH(93,'Content calendar'!$P$7:$P$506,0))&amp;"","")</f>
        <v/>
      </c>
    </row>
    <row r="95">
      <c r="A95" s="49">
        <f>IFERROR(INDEX('Content calendar'!$H$7:$H$506,MATCH(94,'Content calendar'!$P$7:$P$506,0))&amp;"","")</f>
        <v/>
      </c>
      <c r="B95" s="49">
        <f>IFERROR(YEAR(INDEX('Content calendar'!$A$7:$A$506,MATCH(94,'Content calendar'!$P$7:$P$506,0)))&amp;"-"&amp;TEXT(MONTH(INDEX('Content calendar'!$A$7:$A$506,MATCH(94,'Content calendar'!$P$7:$P$506,0))),"00")&amp;"-"&amp;TEXT(DAY(INDEX('Content calendar'!$A$7:$A$506,MATCH(94,'Content calendar'!$P$7:$P$506,0))),"00")&amp;" "&amp;TEXT(HOUR(INDEX('Content calendar'!$B$7:$B$506,MATCH(94,'Content calendar'!$P$7:$P$506,0))),"00")&amp;":"&amp;TEXT(MINUTE(INDEX('Content calendar'!$B$7:$B$506,MATCH(94,'Content calendar'!$P$7:$P$506,0))),"00"),"")</f>
        <v/>
      </c>
      <c r="C95" s="49">
        <f>IFERROR(INDEX('Content calendar'!$K$7:$K$506,MATCH(94,'Content calendar'!$P$7:$P$506,0))&amp;"","")</f>
        <v/>
      </c>
      <c r="D95" s="49">
        <f>IFERROR(INDEX('Content calendar'!$L$7:$L$506,MATCH(94,'Content calendar'!$P$7:$P$506,0))&amp;"","")</f>
        <v/>
      </c>
      <c r="E95" s="49">
        <f>IFERROR(INDEX('Content calendar'!$O$7:$O$506,MATCH(94,'Content calendar'!$P$7:$P$506,0))&amp;"","")</f>
        <v/>
      </c>
    </row>
    <row r="96">
      <c r="A96" s="49">
        <f>IFERROR(INDEX('Content calendar'!$H$7:$H$506,MATCH(95,'Content calendar'!$P$7:$P$506,0))&amp;"","")</f>
        <v/>
      </c>
      <c r="B96" s="49">
        <f>IFERROR(YEAR(INDEX('Content calendar'!$A$7:$A$506,MATCH(95,'Content calendar'!$P$7:$P$506,0)))&amp;"-"&amp;TEXT(MONTH(INDEX('Content calendar'!$A$7:$A$506,MATCH(95,'Content calendar'!$P$7:$P$506,0))),"00")&amp;"-"&amp;TEXT(DAY(INDEX('Content calendar'!$A$7:$A$506,MATCH(95,'Content calendar'!$P$7:$P$506,0))),"00")&amp;" "&amp;TEXT(HOUR(INDEX('Content calendar'!$B$7:$B$506,MATCH(95,'Content calendar'!$P$7:$P$506,0))),"00")&amp;":"&amp;TEXT(MINUTE(INDEX('Content calendar'!$B$7:$B$506,MATCH(95,'Content calendar'!$P$7:$P$506,0))),"00"),"")</f>
        <v/>
      </c>
      <c r="C96" s="49">
        <f>IFERROR(INDEX('Content calendar'!$K$7:$K$506,MATCH(95,'Content calendar'!$P$7:$P$506,0))&amp;"","")</f>
        <v/>
      </c>
      <c r="D96" s="49">
        <f>IFERROR(INDEX('Content calendar'!$L$7:$L$506,MATCH(95,'Content calendar'!$P$7:$P$506,0))&amp;"","")</f>
        <v/>
      </c>
      <c r="E96" s="49">
        <f>IFERROR(INDEX('Content calendar'!$O$7:$O$506,MATCH(95,'Content calendar'!$P$7:$P$506,0))&amp;"","")</f>
        <v/>
      </c>
    </row>
    <row r="97">
      <c r="A97" s="49">
        <f>IFERROR(INDEX('Content calendar'!$H$7:$H$506,MATCH(96,'Content calendar'!$P$7:$P$506,0))&amp;"","")</f>
        <v/>
      </c>
      <c r="B97" s="49">
        <f>IFERROR(YEAR(INDEX('Content calendar'!$A$7:$A$506,MATCH(96,'Content calendar'!$P$7:$P$506,0)))&amp;"-"&amp;TEXT(MONTH(INDEX('Content calendar'!$A$7:$A$506,MATCH(96,'Content calendar'!$P$7:$P$506,0))),"00")&amp;"-"&amp;TEXT(DAY(INDEX('Content calendar'!$A$7:$A$506,MATCH(96,'Content calendar'!$P$7:$P$506,0))),"00")&amp;" "&amp;TEXT(HOUR(INDEX('Content calendar'!$B$7:$B$506,MATCH(96,'Content calendar'!$P$7:$P$506,0))),"00")&amp;":"&amp;TEXT(MINUTE(INDEX('Content calendar'!$B$7:$B$506,MATCH(96,'Content calendar'!$P$7:$P$506,0))),"00"),"")</f>
        <v/>
      </c>
      <c r="C97" s="49">
        <f>IFERROR(INDEX('Content calendar'!$K$7:$K$506,MATCH(96,'Content calendar'!$P$7:$P$506,0))&amp;"","")</f>
        <v/>
      </c>
      <c r="D97" s="49">
        <f>IFERROR(INDEX('Content calendar'!$L$7:$L$506,MATCH(96,'Content calendar'!$P$7:$P$506,0))&amp;"","")</f>
        <v/>
      </c>
      <c r="E97" s="49">
        <f>IFERROR(INDEX('Content calendar'!$O$7:$O$506,MATCH(96,'Content calendar'!$P$7:$P$506,0))&amp;"","")</f>
        <v/>
      </c>
    </row>
    <row r="98">
      <c r="A98" s="49">
        <f>IFERROR(INDEX('Content calendar'!$H$7:$H$506,MATCH(97,'Content calendar'!$P$7:$P$506,0))&amp;"","")</f>
        <v/>
      </c>
      <c r="B98" s="49">
        <f>IFERROR(YEAR(INDEX('Content calendar'!$A$7:$A$506,MATCH(97,'Content calendar'!$P$7:$P$506,0)))&amp;"-"&amp;TEXT(MONTH(INDEX('Content calendar'!$A$7:$A$506,MATCH(97,'Content calendar'!$P$7:$P$506,0))),"00")&amp;"-"&amp;TEXT(DAY(INDEX('Content calendar'!$A$7:$A$506,MATCH(97,'Content calendar'!$P$7:$P$506,0))),"00")&amp;" "&amp;TEXT(HOUR(INDEX('Content calendar'!$B$7:$B$506,MATCH(97,'Content calendar'!$P$7:$P$506,0))),"00")&amp;":"&amp;TEXT(MINUTE(INDEX('Content calendar'!$B$7:$B$506,MATCH(97,'Content calendar'!$P$7:$P$506,0))),"00"),"")</f>
        <v/>
      </c>
      <c r="C98" s="49">
        <f>IFERROR(INDEX('Content calendar'!$K$7:$K$506,MATCH(97,'Content calendar'!$P$7:$P$506,0))&amp;"","")</f>
        <v/>
      </c>
      <c r="D98" s="49">
        <f>IFERROR(INDEX('Content calendar'!$L$7:$L$506,MATCH(97,'Content calendar'!$P$7:$P$506,0))&amp;"","")</f>
        <v/>
      </c>
      <c r="E98" s="49">
        <f>IFERROR(INDEX('Content calendar'!$O$7:$O$506,MATCH(97,'Content calendar'!$P$7:$P$506,0))&amp;"","")</f>
        <v/>
      </c>
    </row>
    <row r="99">
      <c r="A99" s="49">
        <f>IFERROR(INDEX('Content calendar'!$H$7:$H$506,MATCH(98,'Content calendar'!$P$7:$P$506,0))&amp;"","")</f>
        <v/>
      </c>
      <c r="B99" s="49">
        <f>IFERROR(YEAR(INDEX('Content calendar'!$A$7:$A$506,MATCH(98,'Content calendar'!$P$7:$P$506,0)))&amp;"-"&amp;TEXT(MONTH(INDEX('Content calendar'!$A$7:$A$506,MATCH(98,'Content calendar'!$P$7:$P$506,0))),"00")&amp;"-"&amp;TEXT(DAY(INDEX('Content calendar'!$A$7:$A$506,MATCH(98,'Content calendar'!$P$7:$P$506,0))),"00")&amp;" "&amp;TEXT(HOUR(INDEX('Content calendar'!$B$7:$B$506,MATCH(98,'Content calendar'!$P$7:$P$506,0))),"00")&amp;":"&amp;TEXT(MINUTE(INDEX('Content calendar'!$B$7:$B$506,MATCH(98,'Content calendar'!$P$7:$P$506,0))),"00"),"")</f>
        <v/>
      </c>
      <c r="C99" s="49">
        <f>IFERROR(INDEX('Content calendar'!$K$7:$K$506,MATCH(98,'Content calendar'!$P$7:$P$506,0))&amp;"","")</f>
        <v/>
      </c>
      <c r="D99" s="49">
        <f>IFERROR(INDEX('Content calendar'!$L$7:$L$506,MATCH(98,'Content calendar'!$P$7:$P$506,0))&amp;"","")</f>
        <v/>
      </c>
      <c r="E99" s="49">
        <f>IFERROR(INDEX('Content calendar'!$O$7:$O$506,MATCH(98,'Content calendar'!$P$7:$P$506,0))&amp;"","")</f>
        <v/>
      </c>
    </row>
    <row r="100">
      <c r="A100" s="49">
        <f>IFERROR(INDEX('Content calendar'!$H$7:$H$506,MATCH(99,'Content calendar'!$P$7:$P$506,0))&amp;"","")</f>
        <v/>
      </c>
      <c r="B100" s="49">
        <f>IFERROR(YEAR(INDEX('Content calendar'!$A$7:$A$506,MATCH(99,'Content calendar'!$P$7:$P$506,0)))&amp;"-"&amp;TEXT(MONTH(INDEX('Content calendar'!$A$7:$A$506,MATCH(99,'Content calendar'!$P$7:$P$506,0))),"00")&amp;"-"&amp;TEXT(DAY(INDEX('Content calendar'!$A$7:$A$506,MATCH(99,'Content calendar'!$P$7:$P$506,0))),"00")&amp;" "&amp;TEXT(HOUR(INDEX('Content calendar'!$B$7:$B$506,MATCH(99,'Content calendar'!$P$7:$P$506,0))),"00")&amp;":"&amp;TEXT(MINUTE(INDEX('Content calendar'!$B$7:$B$506,MATCH(99,'Content calendar'!$P$7:$P$506,0))),"00"),"")</f>
        <v/>
      </c>
      <c r="C100" s="49">
        <f>IFERROR(INDEX('Content calendar'!$K$7:$K$506,MATCH(99,'Content calendar'!$P$7:$P$506,0))&amp;"","")</f>
        <v/>
      </c>
      <c r="D100" s="49">
        <f>IFERROR(INDEX('Content calendar'!$L$7:$L$506,MATCH(99,'Content calendar'!$P$7:$P$506,0))&amp;"","")</f>
        <v/>
      </c>
      <c r="E100" s="49">
        <f>IFERROR(INDEX('Content calendar'!$O$7:$O$506,MATCH(99,'Content calendar'!$P$7:$P$506,0))&amp;"","")</f>
        <v/>
      </c>
    </row>
    <row r="101">
      <c r="A101" s="49">
        <f>IFERROR(INDEX('Content calendar'!$H$7:$H$506,MATCH(100,'Content calendar'!$P$7:$P$506,0))&amp;"","")</f>
        <v/>
      </c>
      <c r="B101" s="49">
        <f>IFERROR(YEAR(INDEX('Content calendar'!$A$7:$A$506,MATCH(100,'Content calendar'!$P$7:$P$506,0)))&amp;"-"&amp;TEXT(MONTH(INDEX('Content calendar'!$A$7:$A$506,MATCH(100,'Content calendar'!$P$7:$P$506,0))),"00")&amp;"-"&amp;TEXT(DAY(INDEX('Content calendar'!$A$7:$A$506,MATCH(100,'Content calendar'!$P$7:$P$506,0))),"00")&amp;" "&amp;TEXT(HOUR(INDEX('Content calendar'!$B$7:$B$506,MATCH(100,'Content calendar'!$P$7:$P$506,0))),"00")&amp;":"&amp;TEXT(MINUTE(INDEX('Content calendar'!$B$7:$B$506,MATCH(100,'Content calendar'!$P$7:$P$506,0))),"00"),"")</f>
        <v/>
      </c>
      <c r="C101" s="49">
        <f>IFERROR(INDEX('Content calendar'!$K$7:$K$506,MATCH(100,'Content calendar'!$P$7:$P$506,0))&amp;"","")</f>
        <v/>
      </c>
      <c r="D101" s="49">
        <f>IFERROR(INDEX('Content calendar'!$L$7:$L$506,MATCH(100,'Content calendar'!$P$7:$P$506,0))&amp;"","")</f>
        <v/>
      </c>
      <c r="E101" s="49">
        <f>IFERROR(INDEX('Content calendar'!$O$7:$O$506,MATCH(100,'Content calendar'!$P$7:$P$506,0))&amp;"","")</f>
        <v/>
      </c>
    </row>
    <row r="102">
      <c r="A102" s="49">
        <f>IFERROR(INDEX('Content calendar'!$H$7:$H$506,MATCH(101,'Content calendar'!$P$7:$P$506,0))&amp;"","")</f>
        <v/>
      </c>
      <c r="B102" s="49">
        <f>IFERROR(YEAR(INDEX('Content calendar'!$A$7:$A$506,MATCH(101,'Content calendar'!$P$7:$P$506,0)))&amp;"-"&amp;TEXT(MONTH(INDEX('Content calendar'!$A$7:$A$506,MATCH(101,'Content calendar'!$P$7:$P$506,0))),"00")&amp;"-"&amp;TEXT(DAY(INDEX('Content calendar'!$A$7:$A$506,MATCH(101,'Content calendar'!$P$7:$P$506,0))),"00")&amp;" "&amp;TEXT(HOUR(INDEX('Content calendar'!$B$7:$B$506,MATCH(101,'Content calendar'!$P$7:$P$506,0))),"00")&amp;":"&amp;TEXT(MINUTE(INDEX('Content calendar'!$B$7:$B$506,MATCH(101,'Content calendar'!$P$7:$P$506,0))),"00"),"")</f>
        <v/>
      </c>
      <c r="C102" s="49">
        <f>IFERROR(INDEX('Content calendar'!$K$7:$K$506,MATCH(101,'Content calendar'!$P$7:$P$506,0))&amp;"","")</f>
        <v/>
      </c>
      <c r="D102" s="49">
        <f>IFERROR(INDEX('Content calendar'!$L$7:$L$506,MATCH(101,'Content calendar'!$P$7:$P$506,0))&amp;"","")</f>
        <v/>
      </c>
      <c r="E102" s="49">
        <f>IFERROR(INDEX('Content calendar'!$O$7:$O$506,MATCH(101,'Content calendar'!$P$7:$P$506,0))&amp;"","")</f>
        <v/>
      </c>
    </row>
    <row r="103">
      <c r="A103" s="49">
        <f>IFERROR(INDEX('Content calendar'!$H$7:$H$506,MATCH(102,'Content calendar'!$P$7:$P$506,0))&amp;"","")</f>
        <v/>
      </c>
      <c r="B103" s="49">
        <f>IFERROR(YEAR(INDEX('Content calendar'!$A$7:$A$506,MATCH(102,'Content calendar'!$P$7:$P$506,0)))&amp;"-"&amp;TEXT(MONTH(INDEX('Content calendar'!$A$7:$A$506,MATCH(102,'Content calendar'!$P$7:$P$506,0))),"00")&amp;"-"&amp;TEXT(DAY(INDEX('Content calendar'!$A$7:$A$506,MATCH(102,'Content calendar'!$P$7:$P$506,0))),"00")&amp;" "&amp;TEXT(HOUR(INDEX('Content calendar'!$B$7:$B$506,MATCH(102,'Content calendar'!$P$7:$P$506,0))),"00")&amp;":"&amp;TEXT(MINUTE(INDEX('Content calendar'!$B$7:$B$506,MATCH(102,'Content calendar'!$P$7:$P$506,0))),"00"),"")</f>
        <v/>
      </c>
      <c r="C103" s="49">
        <f>IFERROR(INDEX('Content calendar'!$K$7:$K$506,MATCH(102,'Content calendar'!$P$7:$P$506,0))&amp;"","")</f>
        <v/>
      </c>
      <c r="D103" s="49">
        <f>IFERROR(INDEX('Content calendar'!$L$7:$L$506,MATCH(102,'Content calendar'!$P$7:$P$506,0))&amp;"","")</f>
        <v/>
      </c>
      <c r="E103" s="49">
        <f>IFERROR(INDEX('Content calendar'!$O$7:$O$506,MATCH(102,'Content calendar'!$P$7:$P$506,0))&amp;"","")</f>
        <v/>
      </c>
    </row>
    <row r="104">
      <c r="A104" s="49">
        <f>IFERROR(INDEX('Content calendar'!$H$7:$H$506,MATCH(103,'Content calendar'!$P$7:$P$506,0))&amp;"","")</f>
        <v/>
      </c>
      <c r="B104" s="49">
        <f>IFERROR(YEAR(INDEX('Content calendar'!$A$7:$A$506,MATCH(103,'Content calendar'!$P$7:$P$506,0)))&amp;"-"&amp;TEXT(MONTH(INDEX('Content calendar'!$A$7:$A$506,MATCH(103,'Content calendar'!$P$7:$P$506,0))),"00")&amp;"-"&amp;TEXT(DAY(INDEX('Content calendar'!$A$7:$A$506,MATCH(103,'Content calendar'!$P$7:$P$506,0))),"00")&amp;" "&amp;TEXT(HOUR(INDEX('Content calendar'!$B$7:$B$506,MATCH(103,'Content calendar'!$P$7:$P$506,0))),"00")&amp;":"&amp;TEXT(MINUTE(INDEX('Content calendar'!$B$7:$B$506,MATCH(103,'Content calendar'!$P$7:$P$506,0))),"00"),"")</f>
        <v/>
      </c>
      <c r="C104" s="49">
        <f>IFERROR(INDEX('Content calendar'!$K$7:$K$506,MATCH(103,'Content calendar'!$P$7:$P$506,0))&amp;"","")</f>
        <v/>
      </c>
      <c r="D104" s="49">
        <f>IFERROR(INDEX('Content calendar'!$L$7:$L$506,MATCH(103,'Content calendar'!$P$7:$P$506,0))&amp;"","")</f>
        <v/>
      </c>
      <c r="E104" s="49">
        <f>IFERROR(INDEX('Content calendar'!$O$7:$O$506,MATCH(103,'Content calendar'!$P$7:$P$506,0))&amp;"","")</f>
        <v/>
      </c>
    </row>
    <row r="105">
      <c r="A105" s="49">
        <f>IFERROR(INDEX('Content calendar'!$H$7:$H$506,MATCH(104,'Content calendar'!$P$7:$P$506,0))&amp;"","")</f>
        <v/>
      </c>
      <c r="B105" s="49">
        <f>IFERROR(YEAR(INDEX('Content calendar'!$A$7:$A$506,MATCH(104,'Content calendar'!$P$7:$P$506,0)))&amp;"-"&amp;TEXT(MONTH(INDEX('Content calendar'!$A$7:$A$506,MATCH(104,'Content calendar'!$P$7:$P$506,0))),"00")&amp;"-"&amp;TEXT(DAY(INDEX('Content calendar'!$A$7:$A$506,MATCH(104,'Content calendar'!$P$7:$P$506,0))),"00")&amp;" "&amp;TEXT(HOUR(INDEX('Content calendar'!$B$7:$B$506,MATCH(104,'Content calendar'!$P$7:$P$506,0))),"00")&amp;":"&amp;TEXT(MINUTE(INDEX('Content calendar'!$B$7:$B$506,MATCH(104,'Content calendar'!$P$7:$P$506,0))),"00"),"")</f>
        <v/>
      </c>
      <c r="C105" s="49">
        <f>IFERROR(INDEX('Content calendar'!$K$7:$K$506,MATCH(104,'Content calendar'!$P$7:$P$506,0))&amp;"","")</f>
        <v/>
      </c>
      <c r="D105" s="49">
        <f>IFERROR(INDEX('Content calendar'!$L$7:$L$506,MATCH(104,'Content calendar'!$P$7:$P$506,0))&amp;"","")</f>
        <v/>
      </c>
      <c r="E105" s="49">
        <f>IFERROR(INDEX('Content calendar'!$O$7:$O$506,MATCH(104,'Content calendar'!$P$7:$P$506,0))&amp;"","")</f>
        <v/>
      </c>
    </row>
    <row r="106">
      <c r="A106" s="49">
        <f>IFERROR(INDEX('Content calendar'!$H$7:$H$506,MATCH(105,'Content calendar'!$P$7:$P$506,0))&amp;"","")</f>
        <v/>
      </c>
      <c r="B106" s="49">
        <f>IFERROR(YEAR(INDEX('Content calendar'!$A$7:$A$506,MATCH(105,'Content calendar'!$P$7:$P$506,0)))&amp;"-"&amp;TEXT(MONTH(INDEX('Content calendar'!$A$7:$A$506,MATCH(105,'Content calendar'!$P$7:$P$506,0))),"00")&amp;"-"&amp;TEXT(DAY(INDEX('Content calendar'!$A$7:$A$506,MATCH(105,'Content calendar'!$P$7:$P$506,0))),"00")&amp;" "&amp;TEXT(HOUR(INDEX('Content calendar'!$B$7:$B$506,MATCH(105,'Content calendar'!$P$7:$P$506,0))),"00")&amp;":"&amp;TEXT(MINUTE(INDEX('Content calendar'!$B$7:$B$506,MATCH(105,'Content calendar'!$P$7:$P$506,0))),"00"),"")</f>
        <v/>
      </c>
      <c r="C106" s="49">
        <f>IFERROR(INDEX('Content calendar'!$K$7:$K$506,MATCH(105,'Content calendar'!$P$7:$P$506,0))&amp;"","")</f>
        <v/>
      </c>
      <c r="D106" s="49">
        <f>IFERROR(INDEX('Content calendar'!$L$7:$L$506,MATCH(105,'Content calendar'!$P$7:$P$506,0))&amp;"","")</f>
        <v/>
      </c>
      <c r="E106" s="49">
        <f>IFERROR(INDEX('Content calendar'!$O$7:$O$506,MATCH(105,'Content calendar'!$P$7:$P$506,0))&amp;"","")</f>
        <v/>
      </c>
    </row>
    <row r="107">
      <c r="A107" s="49">
        <f>IFERROR(INDEX('Content calendar'!$H$7:$H$506,MATCH(106,'Content calendar'!$P$7:$P$506,0))&amp;"","")</f>
        <v/>
      </c>
      <c r="B107" s="49">
        <f>IFERROR(YEAR(INDEX('Content calendar'!$A$7:$A$506,MATCH(106,'Content calendar'!$P$7:$P$506,0)))&amp;"-"&amp;TEXT(MONTH(INDEX('Content calendar'!$A$7:$A$506,MATCH(106,'Content calendar'!$P$7:$P$506,0))),"00")&amp;"-"&amp;TEXT(DAY(INDEX('Content calendar'!$A$7:$A$506,MATCH(106,'Content calendar'!$P$7:$P$506,0))),"00")&amp;" "&amp;TEXT(HOUR(INDEX('Content calendar'!$B$7:$B$506,MATCH(106,'Content calendar'!$P$7:$P$506,0))),"00")&amp;":"&amp;TEXT(MINUTE(INDEX('Content calendar'!$B$7:$B$506,MATCH(106,'Content calendar'!$P$7:$P$506,0))),"00"),"")</f>
        <v/>
      </c>
      <c r="C107" s="49">
        <f>IFERROR(INDEX('Content calendar'!$K$7:$K$506,MATCH(106,'Content calendar'!$P$7:$P$506,0))&amp;"","")</f>
        <v/>
      </c>
      <c r="D107" s="49">
        <f>IFERROR(INDEX('Content calendar'!$L$7:$L$506,MATCH(106,'Content calendar'!$P$7:$P$506,0))&amp;"","")</f>
        <v/>
      </c>
      <c r="E107" s="49">
        <f>IFERROR(INDEX('Content calendar'!$O$7:$O$506,MATCH(106,'Content calendar'!$P$7:$P$506,0))&amp;"","")</f>
        <v/>
      </c>
    </row>
    <row r="108">
      <c r="A108" s="49">
        <f>IFERROR(INDEX('Content calendar'!$H$7:$H$506,MATCH(107,'Content calendar'!$P$7:$P$506,0))&amp;"","")</f>
        <v/>
      </c>
      <c r="B108" s="49">
        <f>IFERROR(YEAR(INDEX('Content calendar'!$A$7:$A$506,MATCH(107,'Content calendar'!$P$7:$P$506,0)))&amp;"-"&amp;TEXT(MONTH(INDEX('Content calendar'!$A$7:$A$506,MATCH(107,'Content calendar'!$P$7:$P$506,0))),"00")&amp;"-"&amp;TEXT(DAY(INDEX('Content calendar'!$A$7:$A$506,MATCH(107,'Content calendar'!$P$7:$P$506,0))),"00")&amp;" "&amp;TEXT(HOUR(INDEX('Content calendar'!$B$7:$B$506,MATCH(107,'Content calendar'!$P$7:$P$506,0))),"00")&amp;":"&amp;TEXT(MINUTE(INDEX('Content calendar'!$B$7:$B$506,MATCH(107,'Content calendar'!$P$7:$P$506,0))),"00"),"")</f>
        <v/>
      </c>
      <c r="C108" s="49">
        <f>IFERROR(INDEX('Content calendar'!$K$7:$K$506,MATCH(107,'Content calendar'!$P$7:$P$506,0))&amp;"","")</f>
        <v/>
      </c>
      <c r="D108" s="49">
        <f>IFERROR(INDEX('Content calendar'!$L$7:$L$506,MATCH(107,'Content calendar'!$P$7:$P$506,0))&amp;"","")</f>
        <v/>
      </c>
      <c r="E108" s="49">
        <f>IFERROR(INDEX('Content calendar'!$O$7:$O$506,MATCH(107,'Content calendar'!$P$7:$P$506,0))&amp;"","")</f>
        <v/>
      </c>
    </row>
    <row r="109">
      <c r="A109" s="49">
        <f>IFERROR(INDEX('Content calendar'!$H$7:$H$506,MATCH(108,'Content calendar'!$P$7:$P$506,0))&amp;"","")</f>
        <v/>
      </c>
      <c r="B109" s="49">
        <f>IFERROR(YEAR(INDEX('Content calendar'!$A$7:$A$506,MATCH(108,'Content calendar'!$P$7:$P$506,0)))&amp;"-"&amp;TEXT(MONTH(INDEX('Content calendar'!$A$7:$A$506,MATCH(108,'Content calendar'!$P$7:$P$506,0))),"00")&amp;"-"&amp;TEXT(DAY(INDEX('Content calendar'!$A$7:$A$506,MATCH(108,'Content calendar'!$P$7:$P$506,0))),"00")&amp;" "&amp;TEXT(HOUR(INDEX('Content calendar'!$B$7:$B$506,MATCH(108,'Content calendar'!$P$7:$P$506,0))),"00")&amp;":"&amp;TEXT(MINUTE(INDEX('Content calendar'!$B$7:$B$506,MATCH(108,'Content calendar'!$P$7:$P$506,0))),"00"),"")</f>
        <v/>
      </c>
      <c r="C109" s="49">
        <f>IFERROR(INDEX('Content calendar'!$K$7:$K$506,MATCH(108,'Content calendar'!$P$7:$P$506,0))&amp;"","")</f>
        <v/>
      </c>
      <c r="D109" s="49">
        <f>IFERROR(INDEX('Content calendar'!$L$7:$L$506,MATCH(108,'Content calendar'!$P$7:$P$506,0))&amp;"","")</f>
        <v/>
      </c>
      <c r="E109" s="49">
        <f>IFERROR(INDEX('Content calendar'!$O$7:$O$506,MATCH(108,'Content calendar'!$P$7:$P$506,0))&amp;"","")</f>
        <v/>
      </c>
    </row>
    <row r="110">
      <c r="A110" s="49">
        <f>IFERROR(INDEX('Content calendar'!$H$7:$H$506,MATCH(109,'Content calendar'!$P$7:$P$506,0))&amp;"","")</f>
        <v/>
      </c>
      <c r="B110" s="49">
        <f>IFERROR(YEAR(INDEX('Content calendar'!$A$7:$A$506,MATCH(109,'Content calendar'!$P$7:$P$506,0)))&amp;"-"&amp;TEXT(MONTH(INDEX('Content calendar'!$A$7:$A$506,MATCH(109,'Content calendar'!$P$7:$P$506,0))),"00")&amp;"-"&amp;TEXT(DAY(INDEX('Content calendar'!$A$7:$A$506,MATCH(109,'Content calendar'!$P$7:$P$506,0))),"00")&amp;" "&amp;TEXT(HOUR(INDEX('Content calendar'!$B$7:$B$506,MATCH(109,'Content calendar'!$P$7:$P$506,0))),"00")&amp;":"&amp;TEXT(MINUTE(INDEX('Content calendar'!$B$7:$B$506,MATCH(109,'Content calendar'!$P$7:$P$506,0))),"00"),"")</f>
        <v/>
      </c>
      <c r="C110" s="49">
        <f>IFERROR(INDEX('Content calendar'!$K$7:$K$506,MATCH(109,'Content calendar'!$P$7:$P$506,0))&amp;"","")</f>
        <v/>
      </c>
      <c r="D110" s="49">
        <f>IFERROR(INDEX('Content calendar'!$L$7:$L$506,MATCH(109,'Content calendar'!$P$7:$P$506,0))&amp;"","")</f>
        <v/>
      </c>
      <c r="E110" s="49">
        <f>IFERROR(INDEX('Content calendar'!$O$7:$O$506,MATCH(109,'Content calendar'!$P$7:$P$506,0))&amp;"","")</f>
        <v/>
      </c>
    </row>
    <row r="111">
      <c r="A111" s="49">
        <f>IFERROR(INDEX('Content calendar'!$H$7:$H$506,MATCH(110,'Content calendar'!$P$7:$P$506,0))&amp;"","")</f>
        <v/>
      </c>
      <c r="B111" s="49">
        <f>IFERROR(YEAR(INDEX('Content calendar'!$A$7:$A$506,MATCH(110,'Content calendar'!$P$7:$P$506,0)))&amp;"-"&amp;TEXT(MONTH(INDEX('Content calendar'!$A$7:$A$506,MATCH(110,'Content calendar'!$P$7:$P$506,0))),"00")&amp;"-"&amp;TEXT(DAY(INDEX('Content calendar'!$A$7:$A$506,MATCH(110,'Content calendar'!$P$7:$P$506,0))),"00")&amp;" "&amp;TEXT(HOUR(INDEX('Content calendar'!$B$7:$B$506,MATCH(110,'Content calendar'!$P$7:$P$506,0))),"00")&amp;":"&amp;TEXT(MINUTE(INDEX('Content calendar'!$B$7:$B$506,MATCH(110,'Content calendar'!$P$7:$P$506,0))),"00"),"")</f>
        <v/>
      </c>
      <c r="C111" s="49">
        <f>IFERROR(INDEX('Content calendar'!$K$7:$K$506,MATCH(110,'Content calendar'!$P$7:$P$506,0))&amp;"","")</f>
        <v/>
      </c>
      <c r="D111" s="49">
        <f>IFERROR(INDEX('Content calendar'!$L$7:$L$506,MATCH(110,'Content calendar'!$P$7:$P$506,0))&amp;"","")</f>
        <v/>
      </c>
      <c r="E111" s="49">
        <f>IFERROR(INDEX('Content calendar'!$O$7:$O$506,MATCH(110,'Content calendar'!$P$7:$P$506,0))&amp;"","")</f>
        <v/>
      </c>
    </row>
    <row r="112">
      <c r="A112" s="49">
        <f>IFERROR(INDEX('Content calendar'!$H$7:$H$506,MATCH(111,'Content calendar'!$P$7:$P$506,0))&amp;"","")</f>
        <v/>
      </c>
      <c r="B112" s="49">
        <f>IFERROR(YEAR(INDEX('Content calendar'!$A$7:$A$506,MATCH(111,'Content calendar'!$P$7:$P$506,0)))&amp;"-"&amp;TEXT(MONTH(INDEX('Content calendar'!$A$7:$A$506,MATCH(111,'Content calendar'!$P$7:$P$506,0))),"00")&amp;"-"&amp;TEXT(DAY(INDEX('Content calendar'!$A$7:$A$506,MATCH(111,'Content calendar'!$P$7:$P$506,0))),"00")&amp;" "&amp;TEXT(HOUR(INDEX('Content calendar'!$B$7:$B$506,MATCH(111,'Content calendar'!$P$7:$P$506,0))),"00")&amp;":"&amp;TEXT(MINUTE(INDEX('Content calendar'!$B$7:$B$506,MATCH(111,'Content calendar'!$P$7:$P$506,0))),"00"),"")</f>
        <v/>
      </c>
      <c r="C112" s="49">
        <f>IFERROR(INDEX('Content calendar'!$K$7:$K$506,MATCH(111,'Content calendar'!$P$7:$P$506,0))&amp;"","")</f>
        <v/>
      </c>
      <c r="D112" s="49">
        <f>IFERROR(INDEX('Content calendar'!$L$7:$L$506,MATCH(111,'Content calendar'!$P$7:$P$506,0))&amp;"","")</f>
        <v/>
      </c>
      <c r="E112" s="49">
        <f>IFERROR(INDEX('Content calendar'!$O$7:$O$506,MATCH(111,'Content calendar'!$P$7:$P$506,0))&amp;"","")</f>
        <v/>
      </c>
    </row>
    <row r="113">
      <c r="A113" s="49">
        <f>IFERROR(INDEX('Content calendar'!$H$7:$H$506,MATCH(112,'Content calendar'!$P$7:$P$506,0))&amp;"","")</f>
        <v/>
      </c>
      <c r="B113" s="49">
        <f>IFERROR(YEAR(INDEX('Content calendar'!$A$7:$A$506,MATCH(112,'Content calendar'!$P$7:$P$506,0)))&amp;"-"&amp;TEXT(MONTH(INDEX('Content calendar'!$A$7:$A$506,MATCH(112,'Content calendar'!$P$7:$P$506,0))),"00")&amp;"-"&amp;TEXT(DAY(INDEX('Content calendar'!$A$7:$A$506,MATCH(112,'Content calendar'!$P$7:$P$506,0))),"00")&amp;" "&amp;TEXT(HOUR(INDEX('Content calendar'!$B$7:$B$506,MATCH(112,'Content calendar'!$P$7:$P$506,0))),"00")&amp;":"&amp;TEXT(MINUTE(INDEX('Content calendar'!$B$7:$B$506,MATCH(112,'Content calendar'!$P$7:$P$506,0))),"00"),"")</f>
        <v/>
      </c>
      <c r="C113" s="49">
        <f>IFERROR(INDEX('Content calendar'!$K$7:$K$506,MATCH(112,'Content calendar'!$P$7:$P$506,0))&amp;"","")</f>
        <v/>
      </c>
      <c r="D113" s="49">
        <f>IFERROR(INDEX('Content calendar'!$L$7:$L$506,MATCH(112,'Content calendar'!$P$7:$P$506,0))&amp;"","")</f>
        <v/>
      </c>
      <c r="E113" s="49">
        <f>IFERROR(INDEX('Content calendar'!$O$7:$O$506,MATCH(112,'Content calendar'!$P$7:$P$506,0))&amp;"","")</f>
        <v/>
      </c>
    </row>
    <row r="114">
      <c r="A114" s="49">
        <f>IFERROR(INDEX('Content calendar'!$H$7:$H$506,MATCH(113,'Content calendar'!$P$7:$P$506,0))&amp;"","")</f>
        <v/>
      </c>
      <c r="B114" s="49">
        <f>IFERROR(YEAR(INDEX('Content calendar'!$A$7:$A$506,MATCH(113,'Content calendar'!$P$7:$P$506,0)))&amp;"-"&amp;TEXT(MONTH(INDEX('Content calendar'!$A$7:$A$506,MATCH(113,'Content calendar'!$P$7:$P$506,0))),"00")&amp;"-"&amp;TEXT(DAY(INDEX('Content calendar'!$A$7:$A$506,MATCH(113,'Content calendar'!$P$7:$P$506,0))),"00")&amp;" "&amp;TEXT(HOUR(INDEX('Content calendar'!$B$7:$B$506,MATCH(113,'Content calendar'!$P$7:$P$506,0))),"00")&amp;":"&amp;TEXT(MINUTE(INDEX('Content calendar'!$B$7:$B$506,MATCH(113,'Content calendar'!$P$7:$P$506,0))),"00"),"")</f>
        <v/>
      </c>
      <c r="C114" s="49">
        <f>IFERROR(INDEX('Content calendar'!$K$7:$K$506,MATCH(113,'Content calendar'!$P$7:$P$506,0))&amp;"","")</f>
        <v/>
      </c>
      <c r="D114" s="49">
        <f>IFERROR(INDEX('Content calendar'!$L$7:$L$506,MATCH(113,'Content calendar'!$P$7:$P$506,0))&amp;"","")</f>
        <v/>
      </c>
      <c r="E114" s="49">
        <f>IFERROR(INDEX('Content calendar'!$O$7:$O$506,MATCH(113,'Content calendar'!$P$7:$P$506,0))&amp;"","")</f>
        <v/>
      </c>
    </row>
    <row r="115">
      <c r="A115" s="49">
        <f>IFERROR(INDEX('Content calendar'!$H$7:$H$506,MATCH(114,'Content calendar'!$P$7:$P$506,0))&amp;"","")</f>
        <v/>
      </c>
      <c r="B115" s="49">
        <f>IFERROR(YEAR(INDEX('Content calendar'!$A$7:$A$506,MATCH(114,'Content calendar'!$P$7:$P$506,0)))&amp;"-"&amp;TEXT(MONTH(INDEX('Content calendar'!$A$7:$A$506,MATCH(114,'Content calendar'!$P$7:$P$506,0))),"00")&amp;"-"&amp;TEXT(DAY(INDEX('Content calendar'!$A$7:$A$506,MATCH(114,'Content calendar'!$P$7:$P$506,0))),"00")&amp;" "&amp;TEXT(HOUR(INDEX('Content calendar'!$B$7:$B$506,MATCH(114,'Content calendar'!$P$7:$P$506,0))),"00")&amp;":"&amp;TEXT(MINUTE(INDEX('Content calendar'!$B$7:$B$506,MATCH(114,'Content calendar'!$P$7:$P$506,0))),"00"),"")</f>
        <v/>
      </c>
      <c r="C115" s="49">
        <f>IFERROR(INDEX('Content calendar'!$K$7:$K$506,MATCH(114,'Content calendar'!$P$7:$P$506,0))&amp;"","")</f>
        <v/>
      </c>
      <c r="D115" s="49">
        <f>IFERROR(INDEX('Content calendar'!$L$7:$L$506,MATCH(114,'Content calendar'!$P$7:$P$506,0))&amp;"","")</f>
        <v/>
      </c>
      <c r="E115" s="49">
        <f>IFERROR(INDEX('Content calendar'!$O$7:$O$506,MATCH(114,'Content calendar'!$P$7:$P$506,0))&amp;"","")</f>
        <v/>
      </c>
    </row>
    <row r="116">
      <c r="A116" s="49">
        <f>IFERROR(INDEX('Content calendar'!$H$7:$H$506,MATCH(115,'Content calendar'!$P$7:$P$506,0))&amp;"","")</f>
        <v/>
      </c>
      <c r="B116" s="49">
        <f>IFERROR(YEAR(INDEX('Content calendar'!$A$7:$A$506,MATCH(115,'Content calendar'!$P$7:$P$506,0)))&amp;"-"&amp;TEXT(MONTH(INDEX('Content calendar'!$A$7:$A$506,MATCH(115,'Content calendar'!$P$7:$P$506,0))),"00")&amp;"-"&amp;TEXT(DAY(INDEX('Content calendar'!$A$7:$A$506,MATCH(115,'Content calendar'!$P$7:$P$506,0))),"00")&amp;" "&amp;TEXT(HOUR(INDEX('Content calendar'!$B$7:$B$506,MATCH(115,'Content calendar'!$P$7:$P$506,0))),"00")&amp;":"&amp;TEXT(MINUTE(INDEX('Content calendar'!$B$7:$B$506,MATCH(115,'Content calendar'!$P$7:$P$506,0))),"00"),"")</f>
        <v/>
      </c>
      <c r="C116" s="49">
        <f>IFERROR(INDEX('Content calendar'!$K$7:$K$506,MATCH(115,'Content calendar'!$P$7:$P$506,0))&amp;"","")</f>
        <v/>
      </c>
      <c r="D116" s="49">
        <f>IFERROR(INDEX('Content calendar'!$L$7:$L$506,MATCH(115,'Content calendar'!$P$7:$P$506,0))&amp;"","")</f>
        <v/>
      </c>
      <c r="E116" s="49">
        <f>IFERROR(INDEX('Content calendar'!$O$7:$O$506,MATCH(115,'Content calendar'!$P$7:$P$506,0))&amp;"","")</f>
        <v/>
      </c>
    </row>
    <row r="117">
      <c r="A117" s="49">
        <f>IFERROR(INDEX('Content calendar'!$H$7:$H$506,MATCH(116,'Content calendar'!$P$7:$P$506,0))&amp;"","")</f>
        <v/>
      </c>
      <c r="B117" s="49">
        <f>IFERROR(YEAR(INDEX('Content calendar'!$A$7:$A$506,MATCH(116,'Content calendar'!$P$7:$P$506,0)))&amp;"-"&amp;TEXT(MONTH(INDEX('Content calendar'!$A$7:$A$506,MATCH(116,'Content calendar'!$P$7:$P$506,0))),"00")&amp;"-"&amp;TEXT(DAY(INDEX('Content calendar'!$A$7:$A$506,MATCH(116,'Content calendar'!$P$7:$P$506,0))),"00")&amp;" "&amp;TEXT(HOUR(INDEX('Content calendar'!$B$7:$B$506,MATCH(116,'Content calendar'!$P$7:$P$506,0))),"00")&amp;":"&amp;TEXT(MINUTE(INDEX('Content calendar'!$B$7:$B$506,MATCH(116,'Content calendar'!$P$7:$P$506,0))),"00"),"")</f>
        <v/>
      </c>
      <c r="C117" s="49">
        <f>IFERROR(INDEX('Content calendar'!$K$7:$K$506,MATCH(116,'Content calendar'!$P$7:$P$506,0))&amp;"","")</f>
        <v/>
      </c>
      <c r="D117" s="49">
        <f>IFERROR(INDEX('Content calendar'!$L$7:$L$506,MATCH(116,'Content calendar'!$P$7:$P$506,0))&amp;"","")</f>
        <v/>
      </c>
      <c r="E117" s="49">
        <f>IFERROR(INDEX('Content calendar'!$O$7:$O$506,MATCH(116,'Content calendar'!$P$7:$P$506,0))&amp;"","")</f>
        <v/>
      </c>
    </row>
    <row r="118">
      <c r="A118" s="49">
        <f>IFERROR(INDEX('Content calendar'!$H$7:$H$506,MATCH(117,'Content calendar'!$P$7:$P$506,0))&amp;"","")</f>
        <v/>
      </c>
      <c r="B118" s="49">
        <f>IFERROR(YEAR(INDEX('Content calendar'!$A$7:$A$506,MATCH(117,'Content calendar'!$P$7:$P$506,0)))&amp;"-"&amp;TEXT(MONTH(INDEX('Content calendar'!$A$7:$A$506,MATCH(117,'Content calendar'!$P$7:$P$506,0))),"00")&amp;"-"&amp;TEXT(DAY(INDEX('Content calendar'!$A$7:$A$506,MATCH(117,'Content calendar'!$P$7:$P$506,0))),"00")&amp;" "&amp;TEXT(HOUR(INDEX('Content calendar'!$B$7:$B$506,MATCH(117,'Content calendar'!$P$7:$P$506,0))),"00")&amp;":"&amp;TEXT(MINUTE(INDEX('Content calendar'!$B$7:$B$506,MATCH(117,'Content calendar'!$P$7:$P$506,0))),"00"),"")</f>
        <v/>
      </c>
      <c r="C118" s="49">
        <f>IFERROR(INDEX('Content calendar'!$K$7:$K$506,MATCH(117,'Content calendar'!$P$7:$P$506,0))&amp;"","")</f>
        <v/>
      </c>
      <c r="D118" s="49">
        <f>IFERROR(INDEX('Content calendar'!$L$7:$L$506,MATCH(117,'Content calendar'!$P$7:$P$506,0))&amp;"","")</f>
        <v/>
      </c>
      <c r="E118" s="49">
        <f>IFERROR(INDEX('Content calendar'!$O$7:$O$506,MATCH(117,'Content calendar'!$P$7:$P$506,0))&amp;"","")</f>
        <v/>
      </c>
    </row>
    <row r="119">
      <c r="A119" s="49">
        <f>IFERROR(INDEX('Content calendar'!$H$7:$H$506,MATCH(118,'Content calendar'!$P$7:$P$506,0))&amp;"","")</f>
        <v/>
      </c>
      <c r="B119" s="49">
        <f>IFERROR(YEAR(INDEX('Content calendar'!$A$7:$A$506,MATCH(118,'Content calendar'!$P$7:$P$506,0)))&amp;"-"&amp;TEXT(MONTH(INDEX('Content calendar'!$A$7:$A$506,MATCH(118,'Content calendar'!$P$7:$P$506,0))),"00")&amp;"-"&amp;TEXT(DAY(INDEX('Content calendar'!$A$7:$A$506,MATCH(118,'Content calendar'!$P$7:$P$506,0))),"00")&amp;" "&amp;TEXT(HOUR(INDEX('Content calendar'!$B$7:$B$506,MATCH(118,'Content calendar'!$P$7:$P$506,0))),"00")&amp;":"&amp;TEXT(MINUTE(INDEX('Content calendar'!$B$7:$B$506,MATCH(118,'Content calendar'!$P$7:$P$506,0))),"00"),"")</f>
        <v/>
      </c>
      <c r="C119" s="49">
        <f>IFERROR(INDEX('Content calendar'!$K$7:$K$506,MATCH(118,'Content calendar'!$P$7:$P$506,0))&amp;"","")</f>
        <v/>
      </c>
      <c r="D119" s="49">
        <f>IFERROR(INDEX('Content calendar'!$L$7:$L$506,MATCH(118,'Content calendar'!$P$7:$P$506,0))&amp;"","")</f>
        <v/>
      </c>
      <c r="E119" s="49">
        <f>IFERROR(INDEX('Content calendar'!$O$7:$O$506,MATCH(118,'Content calendar'!$P$7:$P$506,0))&amp;"","")</f>
        <v/>
      </c>
    </row>
    <row r="120">
      <c r="A120" s="49">
        <f>IFERROR(INDEX('Content calendar'!$H$7:$H$506,MATCH(119,'Content calendar'!$P$7:$P$506,0))&amp;"","")</f>
        <v/>
      </c>
      <c r="B120" s="49">
        <f>IFERROR(YEAR(INDEX('Content calendar'!$A$7:$A$506,MATCH(119,'Content calendar'!$P$7:$P$506,0)))&amp;"-"&amp;TEXT(MONTH(INDEX('Content calendar'!$A$7:$A$506,MATCH(119,'Content calendar'!$P$7:$P$506,0))),"00")&amp;"-"&amp;TEXT(DAY(INDEX('Content calendar'!$A$7:$A$506,MATCH(119,'Content calendar'!$P$7:$P$506,0))),"00")&amp;" "&amp;TEXT(HOUR(INDEX('Content calendar'!$B$7:$B$506,MATCH(119,'Content calendar'!$P$7:$P$506,0))),"00")&amp;":"&amp;TEXT(MINUTE(INDEX('Content calendar'!$B$7:$B$506,MATCH(119,'Content calendar'!$P$7:$P$506,0))),"00"),"")</f>
        <v/>
      </c>
      <c r="C120" s="49">
        <f>IFERROR(INDEX('Content calendar'!$K$7:$K$506,MATCH(119,'Content calendar'!$P$7:$P$506,0))&amp;"","")</f>
        <v/>
      </c>
      <c r="D120" s="49">
        <f>IFERROR(INDEX('Content calendar'!$L$7:$L$506,MATCH(119,'Content calendar'!$P$7:$P$506,0))&amp;"","")</f>
        <v/>
      </c>
      <c r="E120" s="49">
        <f>IFERROR(INDEX('Content calendar'!$O$7:$O$506,MATCH(119,'Content calendar'!$P$7:$P$506,0))&amp;"","")</f>
        <v/>
      </c>
    </row>
    <row r="121">
      <c r="A121" s="49">
        <f>IFERROR(INDEX('Content calendar'!$H$7:$H$506,MATCH(120,'Content calendar'!$P$7:$P$506,0))&amp;"","")</f>
        <v/>
      </c>
      <c r="B121" s="49">
        <f>IFERROR(YEAR(INDEX('Content calendar'!$A$7:$A$506,MATCH(120,'Content calendar'!$P$7:$P$506,0)))&amp;"-"&amp;TEXT(MONTH(INDEX('Content calendar'!$A$7:$A$506,MATCH(120,'Content calendar'!$P$7:$P$506,0))),"00")&amp;"-"&amp;TEXT(DAY(INDEX('Content calendar'!$A$7:$A$506,MATCH(120,'Content calendar'!$P$7:$P$506,0))),"00")&amp;" "&amp;TEXT(HOUR(INDEX('Content calendar'!$B$7:$B$506,MATCH(120,'Content calendar'!$P$7:$P$506,0))),"00")&amp;":"&amp;TEXT(MINUTE(INDEX('Content calendar'!$B$7:$B$506,MATCH(120,'Content calendar'!$P$7:$P$506,0))),"00"),"")</f>
        <v/>
      </c>
      <c r="C121" s="49">
        <f>IFERROR(INDEX('Content calendar'!$K$7:$K$506,MATCH(120,'Content calendar'!$P$7:$P$506,0))&amp;"","")</f>
        <v/>
      </c>
      <c r="D121" s="49">
        <f>IFERROR(INDEX('Content calendar'!$L$7:$L$506,MATCH(120,'Content calendar'!$P$7:$P$506,0))&amp;"","")</f>
        <v/>
      </c>
      <c r="E121" s="49">
        <f>IFERROR(INDEX('Content calendar'!$O$7:$O$506,MATCH(120,'Content calendar'!$P$7:$P$506,0))&amp;"","")</f>
        <v/>
      </c>
    </row>
    <row r="122">
      <c r="A122" s="49">
        <f>IFERROR(INDEX('Content calendar'!$H$7:$H$506,MATCH(121,'Content calendar'!$P$7:$P$506,0))&amp;"","")</f>
        <v/>
      </c>
      <c r="B122" s="49">
        <f>IFERROR(YEAR(INDEX('Content calendar'!$A$7:$A$506,MATCH(121,'Content calendar'!$P$7:$P$506,0)))&amp;"-"&amp;TEXT(MONTH(INDEX('Content calendar'!$A$7:$A$506,MATCH(121,'Content calendar'!$P$7:$P$506,0))),"00")&amp;"-"&amp;TEXT(DAY(INDEX('Content calendar'!$A$7:$A$506,MATCH(121,'Content calendar'!$P$7:$P$506,0))),"00")&amp;" "&amp;TEXT(HOUR(INDEX('Content calendar'!$B$7:$B$506,MATCH(121,'Content calendar'!$P$7:$P$506,0))),"00")&amp;":"&amp;TEXT(MINUTE(INDEX('Content calendar'!$B$7:$B$506,MATCH(121,'Content calendar'!$P$7:$P$506,0))),"00"),"")</f>
        <v/>
      </c>
      <c r="C122" s="49">
        <f>IFERROR(INDEX('Content calendar'!$K$7:$K$506,MATCH(121,'Content calendar'!$P$7:$P$506,0))&amp;"","")</f>
        <v/>
      </c>
      <c r="D122" s="49">
        <f>IFERROR(INDEX('Content calendar'!$L$7:$L$506,MATCH(121,'Content calendar'!$P$7:$P$506,0))&amp;"","")</f>
        <v/>
      </c>
      <c r="E122" s="49">
        <f>IFERROR(INDEX('Content calendar'!$O$7:$O$506,MATCH(121,'Content calendar'!$P$7:$P$506,0))&amp;"","")</f>
        <v/>
      </c>
    </row>
    <row r="123">
      <c r="A123" s="49">
        <f>IFERROR(INDEX('Content calendar'!$H$7:$H$506,MATCH(122,'Content calendar'!$P$7:$P$506,0))&amp;"","")</f>
        <v/>
      </c>
      <c r="B123" s="49">
        <f>IFERROR(YEAR(INDEX('Content calendar'!$A$7:$A$506,MATCH(122,'Content calendar'!$P$7:$P$506,0)))&amp;"-"&amp;TEXT(MONTH(INDEX('Content calendar'!$A$7:$A$506,MATCH(122,'Content calendar'!$P$7:$P$506,0))),"00")&amp;"-"&amp;TEXT(DAY(INDEX('Content calendar'!$A$7:$A$506,MATCH(122,'Content calendar'!$P$7:$P$506,0))),"00")&amp;" "&amp;TEXT(HOUR(INDEX('Content calendar'!$B$7:$B$506,MATCH(122,'Content calendar'!$P$7:$P$506,0))),"00")&amp;":"&amp;TEXT(MINUTE(INDEX('Content calendar'!$B$7:$B$506,MATCH(122,'Content calendar'!$P$7:$P$506,0))),"00"),"")</f>
        <v/>
      </c>
      <c r="C123" s="49">
        <f>IFERROR(INDEX('Content calendar'!$K$7:$K$506,MATCH(122,'Content calendar'!$P$7:$P$506,0))&amp;"","")</f>
        <v/>
      </c>
      <c r="D123" s="49">
        <f>IFERROR(INDEX('Content calendar'!$L$7:$L$506,MATCH(122,'Content calendar'!$P$7:$P$506,0))&amp;"","")</f>
        <v/>
      </c>
      <c r="E123" s="49">
        <f>IFERROR(INDEX('Content calendar'!$O$7:$O$506,MATCH(122,'Content calendar'!$P$7:$P$506,0))&amp;"","")</f>
        <v/>
      </c>
    </row>
    <row r="124">
      <c r="A124" s="49">
        <f>IFERROR(INDEX('Content calendar'!$H$7:$H$506,MATCH(123,'Content calendar'!$P$7:$P$506,0))&amp;"","")</f>
        <v/>
      </c>
      <c r="B124" s="49">
        <f>IFERROR(YEAR(INDEX('Content calendar'!$A$7:$A$506,MATCH(123,'Content calendar'!$P$7:$P$506,0)))&amp;"-"&amp;TEXT(MONTH(INDEX('Content calendar'!$A$7:$A$506,MATCH(123,'Content calendar'!$P$7:$P$506,0))),"00")&amp;"-"&amp;TEXT(DAY(INDEX('Content calendar'!$A$7:$A$506,MATCH(123,'Content calendar'!$P$7:$P$506,0))),"00")&amp;" "&amp;TEXT(HOUR(INDEX('Content calendar'!$B$7:$B$506,MATCH(123,'Content calendar'!$P$7:$P$506,0))),"00")&amp;":"&amp;TEXT(MINUTE(INDEX('Content calendar'!$B$7:$B$506,MATCH(123,'Content calendar'!$P$7:$P$506,0))),"00"),"")</f>
        <v/>
      </c>
      <c r="C124" s="49">
        <f>IFERROR(INDEX('Content calendar'!$K$7:$K$506,MATCH(123,'Content calendar'!$P$7:$P$506,0))&amp;"","")</f>
        <v/>
      </c>
      <c r="D124" s="49">
        <f>IFERROR(INDEX('Content calendar'!$L$7:$L$506,MATCH(123,'Content calendar'!$P$7:$P$506,0))&amp;"","")</f>
        <v/>
      </c>
      <c r="E124" s="49">
        <f>IFERROR(INDEX('Content calendar'!$O$7:$O$506,MATCH(123,'Content calendar'!$P$7:$P$506,0))&amp;"","")</f>
        <v/>
      </c>
    </row>
    <row r="125">
      <c r="A125" s="49">
        <f>IFERROR(INDEX('Content calendar'!$H$7:$H$506,MATCH(124,'Content calendar'!$P$7:$P$506,0))&amp;"","")</f>
        <v/>
      </c>
      <c r="B125" s="49">
        <f>IFERROR(YEAR(INDEX('Content calendar'!$A$7:$A$506,MATCH(124,'Content calendar'!$P$7:$P$506,0)))&amp;"-"&amp;TEXT(MONTH(INDEX('Content calendar'!$A$7:$A$506,MATCH(124,'Content calendar'!$P$7:$P$506,0))),"00")&amp;"-"&amp;TEXT(DAY(INDEX('Content calendar'!$A$7:$A$506,MATCH(124,'Content calendar'!$P$7:$P$506,0))),"00")&amp;" "&amp;TEXT(HOUR(INDEX('Content calendar'!$B$7:$B$506,MATCH(124,'Content calendar'!$P$7:$P$506,0))),"00")&amp;":"&amp;TEXT(MINUTE(INDEX('Content calendar'!$B$7:$B$506,MATCH(124,'Content calendar'!$P$7:$P$506,0))),"00"),"")</f>
        <v/>
      </c>
      <c r="C125" s="49">
        <f>IFERROR(INDEX('Content calendar'!$K$7:$K$506,MATCH(124,'Content calendar'!$P$7:$P$506,0))&amp;"","")</f>
        <v/>
      </c>
      <c r="D125" s="49">
        <f>IFERROR(INDEX('Content calendar'!$L$7:$L$506,MATCH(124,'Content calendar'!$P$7:$P$506,0))&amp;"","")</f>
        <v/>
      </c>
      <c r="E125" s="49">
        <f>IFERROR(INDEX('Content calendar'!$O$7:$O$506,MATCH(124,'Content calendar'!$P$7:$P$506,0))&amp;"","")</f>
        <v/>
      </c>
    </row>
    <row r="126">
      <c r="A126" s="49">
        <f>IFERROR(INDEX('Content calendar'!$H$7:$H$506,MATCH(125,'Content calendar'!$P$7:$P$506,0))&amp;"","")</f>
        <v/>
      </c>
      <c r="B126" s="49">
        <f>IFERROR(YEAR(INDEX('Content calendar'!$A$7:$A$506,MATCH(125,'Content calendar'!$P$7:$P$506,0)))&amp;"-"&amp;TEXT(MONTH(INDEX('Content calendar'!$A$7:$A$506,MATCH(125,'Content calendar'!$P$7:$P$506,0))),"00")&amp;"-"&amp;TEXT(DAY(INDEX('Content calendar'!$A$7:$A$506,MATCH(125,'Content calendar'!$P$7:$P$506,0))),"00")&amp;" "&amp;TEXT(HOUR(INDEX('Content calendar'!$B$7:$B$506,MATCH(125,'Content calendar'!$P$7:$P$506,0))),"00")&amp;":"&amp;TEXT(MINUTE(INDEX('Content calendar'!$B$7:$B$506,MATCH(125,'Content calendar'!$P$7:$P$506,0))),"00"),"")</f>
        <v/>
      </c>
      <c r="C126" s="49">
        <f>IFERROR(INDEX('Content calendar'!$K$7:$K$506,MATCH(125,'Content calendar'!$P$7:$P$506,0))&amp;"","")</f>
        <v/>
      </c>
      <c r="D126" s="49">
        <f>IFERROR(INDEX('Content calendar'!$L$7:$L$506,MATCH(125,'Content calendar'!$P$7:$P$506,0))&amp;"","")</f>
        <v/>
      </c>
      <c r="E126" s="49">
        <f>IFERROR(INDEX('Content calendar'!$O$7:$O$506,MATCH(125,'Content calendar'!$P$7:$P$506,0))&amp;"","")</f>
        <v/>
      </c>
    </row>
    <row r="127">
      <c r="A127" s="49">
        <f>IFERROR(INDEX('Content calendar'!$H$7:$H$506,MATCH(126,'Content calendar'!$P$7:$P$506,0))&amp;"","")</f>
        <v/>
      </c>
      <c r="B127" s="49">
        <f>IFERROR(YEAR(INDEX('Content calendar'!$A$7:$A$506,MATCH(126,'Content calendar'!$P$7:$P$506,0)))&amp;"-"&amp;TEXT(MONTH(INDEX('Content calendar'!$A$7:$A$506,MATCH(126,'Content calendar'!$P$7:$P$506,0))),"00")&amp;"-"&amp;TEXT(DAY(INDEX('Content calendar'!$A$7:$A$506,MATCH(126,'Content calendar'!$P$7:$P$506,0))),"00")&amp;" "&amp;TEXT(HOUR(INDEX('Content calendar'!$B$7:$B$506,MATCH(126,'Content calendar'!$P$7:$P$506,0))),"00")&amp;":"&amp;TEXT(MINUTE(INDEX('Content calendar'!$B$7:$B$506,MATCH(126,'Content calendar'!$P$7:$P$506,0))),"00"),"")</f>
        <v/>
      </c>
      <c r="C127" s="49">
        <f>IFERROR(INDEX('Content calendar'!$K$7:$K$506,MATCH(126,'Content calendar'!$P$7:$P$506,0))&amp;"","")</f>
        <v/>
      </c>
      <c r="D127" s="49">
        <f>IFERROR(INDEX('Content calendar'!$L$7:$L$506,MATCH(126,'Content calendar'!$P$7:$P$506,0))&amp;"","")</f>
        <v/>
      </c>
      <c r="E127" s="49">
        <f>IFERROR(INDEX('Content calendar'!$O$7:$O$506,MATCH(126,'Content calendar'!$P$7:$P$506,0))&amp;"","")</f>
        <v/>
      </c>
    </row>
    <row r="128">
      <c r="A128" s="49">
        <f>IFERROR(INDEX('Content calendar'!$H$7:$H$506,MATCH(127,'Content calendar'!$P$7:$P$506,0))&amp;"","")</f>
        <v/>
      </c>
      <c r="B128" s="49">
        <f>IFERROR(YEAR(INDEX('Content calendar'!$A$7:$A$506,MATCH(127,'Content calendar'!$P$7:$P$506,0)))&amp;"-"&amp;TEXT(MONTH(INDEX('Content calendar'!$A$7:$A$506,MATCH(127,'Content calendar'!$P$7:$P$506,0))),"00")&amp;"-"&amp;TEXT(DAY(INDEX('Content calendar'!$A$7:$A$506,MATCH(127,'Content calendar'!$P$7:$P$506,0))),"00")&amp;" "&amp;TEXT(HOUR(INDEX('Content calendar'!$B$7:$B$506,MATCH(127,'Content calendar'!$P$7:$P$506,0))),"00")&amp;":"&amp;TEXT(MINUTE(INDEX('Content calendar'!$B$7:$B$506,MATCH(127,'Content calendar'!$P$7:$P$506,0))),"00"),"")</f>
        <v/>
      </c>
      <c r="C128" s="49">
        <f>IFERROR(INDEX('Content calendar'!$K$7:$K$506,MATCH(127,'Content calendar'!$P$7:$P$506,0))&amp;"","")</f>
        <v/>
      </c>
      <c r="D128" s="49">
        <f>IFERROR(INDEX('Content calendar'!$L$7:$L$506,MATCH(127,'Content calendar'!$P$7:$P$506,0))&amp;"","")</f>
        <v/>
      </c>
      <c r="E128" s="49">
        <f>IFERROR(INDEX('Content calendar'!$O$7:$O$506,MATCH(127,'Content calendar'!$P$7:$P$506,0))&amp;"","")</f>
        <v/>
      </c>
    </row>
    <row r="129">
      <c r="A129" s="49">
        <f>IFERROR(INDEX('Content calendar'!$H$7:$H$506,MATCH(128,'Content calendar'!$P$7:$P$506,0))&amp;"","")</f>
        <v/>
      </c>
      <c r="B129" s="49">
        <f>IFERROR(YEAR(INDEX('Content calendar'!$A$7:$A$506,MATCH(128,'Content calendar'!$P$7:$P$506,0)))&amp;"-"&amp;TEXT(MONTH(INDEX('Content calendar'!$A$7:$A$506,MATCH(128,'Content calendar'!$P$7:$P$506,0))),"00")&amp;"-"&amp;TEXT(DAY(INDEX('Content calendar'!$A$7:$A$506,MATCH(128,'Content calendar'!$P$7:$P$506,0))),"00")&amp;" "&amp;TEXT(HOUR(INDEX('Content calendar'!$B$7:$B$506,MATCH(128,'Content calendar'!$P$7:$P$506,0))),"00")&amp;":"&amp;TEXT(MINUTE(INDEX('Content calendar'!$B$7:$B$506,MATCH(128,'Content calendar'!$P$7:$P$506,0))),"00"),"")</f>
        <v/>
      </c>
      <c r="C129" s="49">
        <f>IFERROR(INDEX('Content calendar'!$K$7:$K$506,MATCH(128,'Content calendar'!$P$7:$P$506,0))&amp;"","")</f>
        <v/>
      </c>
      <c r="D129" s="49">
        <f>IFERROR(INDEX('Content calendar'!$L$7:$L$506,MATCH(128,'Content calendar'!$P$7:$P$506,0))&amp;"","")</f>
        <v/>
      </c>
      <c r="E129" s="49">
        <f>IFERROR(INDEX('Content calendar'!$O$7:$O$506,MATCH(128,'Content calendar'!$P$7:$P$506,0))&amp;"","")</f>
        <v/>
      </c>
    </row>
    <row r="130">
      <c r="A130" s="49">
        <f>IFERROR(INDEX('Content calendar'!$H$7:$H$506,MATCH(129,'Content calendar'!$P$7:$P$506,0))&amp;"","")</f>
        <v/>
      </c>
      <c r="B130" s="49">
        <f>IFERROR(YEAR(INDEX('Content calendar'!$A$7:$A$506,MATCH(129,'Content calendar'!$P$7:$P$506,0)))&amp;"-"&amp;TEXT(MONTH(INDEX('Content calendar'!$A$7:$A$506,MATCH(129,'Content calendar'!$P$7:$P$506,0))),"00")&amp;"-"&amp;TEXT(DAY(INDEX('Content calendar'!$A$7:$A$506,MATCH(129,'Content calendar'!$P$7:$P$506,0))),"00")&amp;" "&amp;TEXT(HOUR(INDEX('Content calendar'!$B$7:$B$506,MATCH(129,'Content calendar'!$P$7:$P$506,0))),"00")&amp;":"&amp;TEXT(MINUTE(INDEX('Content calendar'!$B$7:$B$506,MATCH(129,'Content calendar'!$P$7:$P$506,0))),"00"),"")</f>
        <v/>
      </c>
      <c r="C130" s="49">
        <f>IFERROR(INDEX('Content calendar'!$K$7:$K$506,MATCH(129,'Content calendar'!$P$7:$P$506,0))&amp;"","")</f>
        <v/>
      </c>
      <c r="D130" s="49">
        <f>IFERROR(INDEX('Content calendar'!$L$7:$L$506,MATCH(129,'Content calendar'!$P$7:$P$506,0))&amp;"","")</f>
        <v/>
      </c>
      <c r="E130" s="49">
        <f>IFERROR(INDEX('Content calendar'!$O$7:$O$506,MATCH(129,'Content calendar'!$P$7:$P$506,0))&amp;"","")</f>
        <v/>
      </c>
    </row>
    <row r="131">
      <c r="A131" s="49">
        <f>IFERROR(INDEX('Content calendar'!$H$7:$H$506,MATCH(130,'Content calendar'!$P$7:$P$506,0))&amp;"","")</f>
        <v/>
      </c>
      <c r="B131" s="49">
        <f>IFERROR(YEAR(INDEX('Content calendar'!$A$7:$A$506,MATCH(130,'Content calendar'!$P$7:$P$506,0)))&amp;"-"&amp;TEXT(MONTH(INDEX('Content calendar'!$A$7:$A$506,MATCH(130,'Content calendar'!$P$7:$P$506,0))),"00")&amp;"-"&amp;TEXT(DAY(INDEX('Content calendar'!$A$7:$A$506,MATCH(130,'Content calendar'!$P$7:$P$506,0))),"00")&amp;" "&amp;TEXT(HOUR(INDEX('Content calendar'!$B$7:$B$506,MATCH(130,'Content calendar'!$P$7:$P$506,0))),"00")&amp;":"&amp;TEXT(MINUTE(INDEX('Content calendar'!$B$7:$B$506,MATCH(130,'Content calendar'!$P$7:$P$506,0))),"00"),"")</f>
        <v/>
      </c>
      <c r="C131" s="49">
        <f>IFERROR(INDEX('Content calendar'!$K$7:$K$506,MATCH(130,'Content calendar'!$P$7:$P$506,0))&amp;"","")</f>
        <v/>
      </c>
      <c r="D131" s="49">
        <f>IFERROR(INDEX('Content calendar'!$L$7:$L$506,MATCH(130,'Content calendar'!$P$7:$P$506,0))&amp;"","")</f>
        <v/>
      </c>
      <c r="E131" s="49">
        <f>IFERROR(INDEX('Content calendar'!$O$7:$O$506,MATCH(130,'Content calendar'!$P$7:$P$506,0))&amp;"","")</f>
        <v/>
      </c>
    </row>
    <row r="132">
      <c r="A132" s="49">
        <f>IFERROR(INDEX('Content calendar'!$H$7:$H$506,MATCH(131,'Content calendar'!$P$7:$P$506,0))&amp;"","")</f>
        <v/>
      </c>
      <c r="B132" s="49">
        <f>IFERROR(YEAR(INDEX('Content calendar'!$A$7:$A$506,MATCH(131,'Content calendar'!$P$7:$P$506,0)))&amp;"-"&amp;TEXT(MONTH(INDEX('Content calendar'!$A$7:$A$506,MATCH(131,'Content calendar'!$P$7:$P$506,0))),"00")&amp;"-"&amp;TEXT(DAY(INDEX('Content calendar'!$A$7:$A$506,MATCH(131,'Content calendar'!$P$7:$P$506,0))),"00")&amp;" "&amp;TEXT(HOUR(INDEX('Content calendar'!$B$7:$B$506,MATCH(131,'Content calendar'!$P$7:$P$506,0))),"00")&amp;":"&amp;TEXT(MINUTE(INDEX('Content calendar'!$B$7:$B$506,MATCH(131,'Content calendar'!$P$7:$P$506,0))),"00"),"")</f>
        <v/>
      </c>
      <c r="C132" s="49">
        <f>IFERROR(INDEX('Content calendar'!$K$7:$K$506,MATCH(131,'Content calendar'!$P$7:$P$506,0))&amp;"","")</f>
        <v/>
      </c>
      <c r="D132" s="49">
        <f>IFERROR(INDEX('Content calendar'!$L$7:$L$506,MATCH(131,'Content calendar'!$P$7:$P$506,0))&amp;"","")</f>
        <v/>
      </c>
      <c r="E132" s="49">
        <f>IFERROR(INDEX('Content calendar'!$O$7:$O$506,MATCH(131,'Content calendar'!$P$7:$P$506,0))&amp;"","")</f>
        <v/>
      </c>
    </row>
    <row r="133">
      <c r="A133" s="49">
        <f>IFERROR(INDEX('Content calendar'!$H$7:$H$506,MATCH(132,'Content calendar'!$P$7:$P$506,0))&amp;"","")</f>
        <v/>
      </c>
      <c r="B133" s="49">
        <f>IFERROR(YEAR(INDEX('Content calendar'!$A$7:$A$506,MATCH(132,'Content calendar'!$P$7:$P$506,0)))&amp;"-"&amp;TEXT(MONTH(INDEX('Content calendar'!$A$7:$A$506,MATCH(132,'Content calendar'!$P$7:$P$506,0))),"00")&amp;"-"&amp;TEXT(DAY(INDEX('Content calendar'!$A$7:$A$506,MATCH(132,'Content calendar'!$P$7:$P$506,0))),"00")&amp;" "&amp;TEXT(HOUR(INDEX('Content calendar'!$B$7:$B$506,MATCH(132,'Content calendar'!$P$7:$P$506,0))),"00")&amp;":"&amp;TEXT(MINUTE(INDEX('Content calendar'!$B$7:$B$506,MATCH(132,'Content calendar'!$P$7:$P$506,0))),"00"),"")</f>
        <v/>
      </c>
      <c r="C133" s="49">
        <f>IFERROR(INDEX('Content calendar'!$K$7:$K$506,MATCH(132,'Content calendar'!$P$7:$P$506,0))&amp;"","")</f>
        <v/>
      </c>
      <c r="D133" s="49">
        <f>IFERROR(INDEX('Content calendar'!$L$7:$L$506,MATCH(132,'Content calendar'!$P$7:$P$506,0))&amp;"","")</f>
        <v/>
      </c>
      <c r="E133" s="49">
        <f>IFERROR(INDEX('Content calendar'!$O$7:$O$506,MATCH(132,'Content calendar'!$P$7:$P$506,0))&amp;"","")</f>
        <v/>
      </c>
    </row>
    <row r="134">
      <c r="A134" s="49">
        <f>IFERROR(INDEX('Content calendar'!$H$7:$H$506,MATCH(133,'Content calendar'!$P$7:$P$506,0))&amp;"","")</f>
        <v/>
      </c>
      <c r="B134" s="49">
        <f>IFERROR(YEAR(INDEX('Content calendar'!$A$7:$A$506,MATCH(133,'Content calendar'!$P$7:$P$506,0)))&amp;"-"&amp;TEXT(MONTH(INDEX('Content calendar'!$A$7:$A$506,MATCH(133,'Content calendar'!$P$7:$P$506,0))),"00")&amp;"-"&amp;TEXT(DAY(INDEX('Content calendar'!$A$7:$A$506,MATCH(133,'Content calendar'!$P$7:$P$506,0))),"00")&amp;" "&amp;TEXT(HOUR(INDEX('Content calendar'!$B$7:$B$506,MATCH(133,'Content calendar'!$P$7:$P$506,0))),"00")&amp;":"&amp;TEXT(MINUTE(INDEX('Content calendar'!$B$7:$B$506,MATCH(133,'Content calendar'!$P$7:$P$506,0))),"00"),"")</f>
        <v/>
      </c>
      <c r="C134" s="49">
        <f>IFERROR(INDEX('Content calendar'!$K$7:$K$506,MATCH(133,'Content calendar'!$P$7:$P$506,0))&amp;"","")</f>
        <v/>
      </c>
      <c r="D134" s="49">
        <f>IFERROR(INDEX('Content calendar'!$L$7:$L$506,MATCH(133,'Content calendar'!$P$7:$P$506,0))&amp;"","")</f>
        <v/>
      </c>
      <c r="E134" s="49">
        <f>IFERROR(INDEX('Content calendar'!$O$7:$O$506,MATCH(133,'Content calendar'!$P$7:$P$506,0))&amp;"","")</f>
        <v/>
      </c>
    </row>
    <row r="135">
      <c r="A135" s="49">
        <f>IFERROR(INDEX('Content calendar'!$H$7:$H$506,MATCH(134,'Content calendar'!$P$7:$P$506,0))&amp;"","")</f>
        <v/>
      </c>
      <c r="B135" s="49">
        <f>IFERROR(YEAR(INDEX('Content calendar'!$A$7:$A$506,MATCH(134,'Content calendar'!$P$7:$P$506,0)))&amp;"-"&amp;TEXT(MONTH(INDEX('Content calendar'!$A$7:$A$506,MATCH(134,'Content calendar'!$P$7:$P$506,0))),"00")&amp;"-"&amp;TEXT(DAY(INDEX('Content calendar'!$A$7:$A$506,MATCH(134,'Content calendar'!$P$7:$P$506,0))),"00")&amp;" "&amp;TEXT(HOUR(INDEX('Content calendar'!$B$7:$B$506,MATCH(134,'Content calendar'!$P$7:$P$506,0))),"00")&amp;":"&amp;TEXT(MINUTE(INDEX('Content calendar'!$B$7:$B$506,MATCH(134,'Content calendar'!$P$7:$P$506,0))),"00"),"")</f>
        <v/>
      </c>
      <c r="C135" s="49">
        <f>IFERROR(INDEX('Content calendar'!$K$7:$K$506,MATCH(134,'Content calendar'!$P$7:$P$506,0))&amp;"","")</f>
        <v/>
      </c>
      <c r="D135" s="49">
        <f>IFERROR(INDEX('Content calendar'!$L$7:$L$506,MATCH(134,'Content calendar'!$P$7:$P$506,0))&amp;"","")</f>
        <v/>
      </c>
      <c r="E135" s="49">
        <f>IFERROR(INDEX('Content calendar'!$O$7:$O$506,MATCH(134,'Content calendar'!$P$7:$P$506,0))&amp;"","")</f>
        <v/>
      </c>
    </row>
    <row r="136">
      <c r="A136" s="49">
        <f>IFERROR(INDEX('Content calendar'!$H$7:$H$506,MATCH(135,'Content calendar'!$P$7:$P$506,0))&amp;"","")</f>
        <v/>
      </c>
      <c r="B136" s="49">
        <f>IFERROR(YEAR(INDEX('Content calendar'!$A$7:$A$506,MATCH(135,'Content calendar'!$P$7:$P$506,0)))&amp;"-"&amp;TEXT(MONTH(INDEX('Content calendar'!$A$7:$A$506,MATCH(135,'Content calendar'!$P$7:$P$506,0))),"00")&amp;"-"&amp;TEXT(DAY(INDEX('Content calendar'!$A$7:$A$506,MATCH(135,'Content calendar'!$P$7:$P$506,0))),"00")&amp;" "&amp;TEXT(HOUR(INDEX('Content calendar'!$B$7:$B$506,MATCH(135,'Content calendar'!$P$7:$P$506,0))),"00")&amp;":"&amp;TEXT(MINUTE(INDEX('Content calendar'!$B$7:$B$506,MATCH(135,'Content calendar'!$P$7:$P$506,0))),"00"),"")</f>
        <v/>
      </c>
      <c r="C136" s="49">
        <f>IFERROR(INDEX('Content calendar'!$K$7:$K$506,MATCH(135,'Content calendar'!$P$7:$P$506,0))&amp;"","")</f>
        <v/>
      </c>
      <c r="D136" s="49">
        <f>IFERROR(INDEX('Content calendar'!$L$7:$L$506,MATCH(135,'Content calendar'!$P$7:$P$506,0))&amp;"","")</f>
        <v/>
      </c>
      <c r="E136" s="49">
        <f>IFERROR(INDEX('Content calendar'!$O$7:$O$506,MATCH(135,'Content calendar'!$P$7:$P$506,0))&amp;"","")</f>
        <v/>
      </c>
    </row>
    <row r="137">
      <c r="A137" s="49">
        <f>IFERROR(INDEX('Content calendar'!$H$7:$H$506,MATCH(136,'Content calendar'!$P$7:$P$506,0))&amp;"","")</f>
        <v/>
      </c>
      <c r="B137" s="49">
        <f>IFERROR(YEAR(INDEX('Content calendar'!$A$7:$A$506,MATCH(136,'Content calendar'!$P$7:$P$506,0)))&amp;"-"&amp;TEXT(MONTH(INDEX('Content calendar'!$A$7:$A$506,MATCH(136,'Content calendar'!$P$7:$P$506,0))),"00")&amp;"-"&amp;TEXT(DAY(INDEX('Content calendar'!$A$7:$A$506,MATCH(136,'Content calendar'!$P$7:$P$506,0))),"00")&amp;" "&amp;TEXT(HOUR(INDEX('Content calendar'!$B$7:$B$506,MATCH(136,'Content calendar'!$P$7:$P$506,0))),"00")&amp;":"&amp;TEXT(MINUTE(INDEX('Content calendar'!$B$7:$B$506,MATCH(136,'Content calendar'!$P$7:$P$506,0))),"00"),"")</f>
        <v/>
      </c>
      <c r="C137" s="49">
        <f>IFERROR(INDEX('Content calendar'!$K$7:$K$506,MATCH(136,'Content calendar'!$P$7:$P$506,0))&amp;"","")</f>
        <v/>
      </c>
      <c r="D137" s="49">
        <f>IFERROR(INDEX('Content calendar'!$L$7:$L$506,MATCH(136,'Content calendar'!$P$7:$P$506,0))&amp;"","")</f>
        <v/>
      </c>
      <c r="E137" s="49">
        <f>IFERROR(INDEX('Content calendar'!$O$7:$O$506,MATCH(136,'Content calendar'!$P$7:$P$506,0))&amp;"","")</f>
        <v/>
      </c>
    </row>
    <row r="138">
      <c r="A138" s="49">
        <f>IFERROR(INDEX('Content calendar'!$H$7:$H$506,MATCH(137,'Content calendar'!$P$7:$P$506,0))&amp;"","")</f>
        <v/>
      </c>
      <c r="B138" s="49">
        <f>IFERROR(YEAR(INDEX('Content calendar'!$A$7:$A$506,MATCH(137,'Content calendar'!$P$7:$P$506,0)))&amp;"-"&amp;TEXT(MONTH(INDEX('Content calendar'!$A$7:$A$506,MATCH(137,'Content calendar'!$P$7:$P$506,0))),"00")&amp;"-"&amp;TEXT(DAY(INDEX('Content calendar'!$A$7:$A$506,MATCH(137,'Content calendar'!$P$7:$P$506,0))),"00")&amp;" "&amp;TEXT(HOUR(INDEX('Content calendar'!$B$7:$B$506,MATCH(137,'Content calendar'!$P$7:$P$506,0))),"00")&amp;":"&amp;TEXT(MINUTE(INDEX('Content calendar'!$B$7:$B$506,MATCH(137,'Content calendar'!$P$7:$P$506,0))),"00"),"")</f>
        <v/>
      </c>
      <c r="C138" s="49">
        <f>IFERROR(INDEX('Content calendar'!$K$7:$K$506,MATCH(137,'Content calendar'!$P$7:$P$506,0))&amp;"","")</f>
        <v/>
      </c>
      <c r="D138" s="49">
        <f>IFERROR(INDEX('Content calendar'!$L$7:$L$506,MATCH(137,'Content calendar'!$P$7:$P$506,0))&amp;"","")</f>
        <v/>
      </c>
      <c r="E138" s="49">
        <f>IFERROR(INDEX('Content calendar'!$O$7:$O$506,MATCH(137,'Content calendar'!$P$7:$P$506,0))&amp;"","")</f>
        <v/>
      </c>
    </row>
    <row r="139">
      <c r="A139" s="49">
        <f>IFERROR(INDEX('Content calendar'!$H$7:$H$506,MATCH(138,'Content calendar'!$P$7:$P$506,0))&amp;"","")</f>
        <v/>
      </c>
      <c r="B139" s="49">
        <f>IFERROR(YEAR(INDEX('Content calendar'!$A$7:$A$506,MATCH(138,'Content calendar'!$P$7:$P$506,0)))&amp;"-"&amp;TEXT(MONTH(INDEX('Content calendar'!$A$7:$A$506,MATCH(138,'Content calendar'!$P$7:$P$506,0))),"00")&amp;"-"&amp;TEXT(DAY(INDEX('Content calendar'!$A$7:$A$506,MATCH(138,'Content calendar'!$P$7:$P$506,0))),"00")&amp;" "&amp;TEXT(HOUR(INDEX('Content calendar'!$B$7:$B$506,MATCH(138,'Content calendar'!$P$7:$P$506,0))),"00")&amp;":"&amp;TEXT(MINUTE(INDEX('Content calendar'!$B$7:$B$506,MATCH(138,'Content calendar'!$P$7:$P$506,0))),"00"),"")</f>
        <v/>
      </c>
      <c r="C139" s="49">
        <f>IFERROR(INDEX('Content calendar'!$K$7:$K$506,MATCH(138,'Content calendar'!$P$7:$P$506,0))&amp;"","")</f>
        <v/>
      </c>
      <c r="D139" s="49">
        <f>IFERROR(INDEX('Content calendar'!$L$7:$L$506,MATCH(138,'Content calendar'!$P$7:$P$506,0))&amp;"","")</f>
        <v/>
      </c>
      <c r="E139" s="49">
        <f>IFERROR(INDEX('Content calendar'!$O$7:$O$506,MATCH(138,'Content calendar'!$P$7:$P$506,0))&amp;"","")</f>
        <v/>
      </c>
    </row>
    <row r="140">
      <c r="A140" s="49">
        <f>IFERROR(INDEX('Content calendar'!$H$7:$H$506,MATCH(139,'Content calendar'!$P$7:$P$506,0))&amp;"","")</f>
        <v/>
      </c>
      <c r="B140" s="49">
        <f>IFERROR(YEAR(INDEX('Content calendar'!$A$7:$A$506,MATCH(139,'Content calendar'!$P$7:$P$506,0)))&amp;"-"&amp;TEXT(MONTH(INDEX('Content calendar'!$A$7:$A$506,MATCH(139,'Content calendar'!$P$7:$P$506,0))),"00")&amp;"-"&amp;TEXT(DAY(INDEX('Content calendar'!$A$7:$A$506,MATCH(139,'Content calendar'!$P$7:$P$506,0))),"00")&amp;" "&amp;TEXT(HOUR(INDEX('Content calendar'!$B$7:$B$506,MATCH(139,'Content calendar'!$P$7:$P$506,0))),"00")&amp;":"&amp;TEXT(MINUTE(INDEX('Content calendar'!$B$7:$B$506,MATCH(139,'Content calendar'!$P$7:$P$506,0))),"00"),"")</f>
        <v/>
      </c>
      <c r="C140" s="49">
        <f>IFERROR(INDEX('Content calendar'!$K$7:$K$506,MATCH(139,'Content calendar'!$P$7:$P$506,0))&amp;"","")</f>
        <v/>
      </c>
      <c r="D140" s="49">
        <f>IFERROR(INDEX('Content calendar'!$L$7:$L$506,MATCH(139,'Content calendar'!$P$7:$P$506,0))&amp;"","")</f>
        <v/>
      </c>
      <c r="E140" s="49">
        <f>IFERROR(INDEX('Content calendar'!$O$7:$O$506,MATCH(139,'Content calendar'!$P$7:$P$506,0))&amp;"","")</f>
        <v/>
      </c>
    </row>
    <row r="141">
      <c r="A141" s="49">
        <f>IFERROR(INDEX('Content calendar'!$H$7:$H$506,MATCH(140,'Content calendar'!$P$7:$P$506,0))&amp;"","")</f>
        <v/>
      </c>
      <c r="B141" s="49">
        <f>IFERROR(YEAR(INDEX('Content calendar'!$A$7:$A$506,MATCH(140,'Content calendar'!$P$7:$P$506,0)))&amp;"-"&amp;TEXT(MONTH(INDEX('Content calendar'!$A$7:$A$506,MATCH(140,'Content calendar'!$P$7:$P$506,0))),"00")&amp;"-"&amp;TEXT(DAY(INDEX('Content calendar'!$A$7:$A$506,MATCH(140,'Content calendar'!$P$7:$P$506,0))),"00")&amp;" "&amp;TEXT(HOUR(INDEX('Content calendar'!$B$7:$B$506,MATCH(140,'Content calendar'!$P$7:$P$506,0))),"00")&amp;":"&amp;TEXT(MINUTE(INDEX('Content calendar'!$B$7:$B$506,MATCH(140,'Content calendar'!$P$7:$P$506,0))),"00"),"")</f>
        <v/>
      </c>
      <c r="C141" s="49">
        <f>IFERROR(INDEX('Content calendar'!$K$7:$K$506,MATCH(140,'Content calendar'!$P$7:$P$506,0))&amp;"","")</f>
        <v/>
      </c>
      <c r="D141" s="49">
        <f>IFERROR(INDEX('Content calendar'!$L$7:$L$506,MATCH(140,'Content calendar'!$P$7:$P$506,0))&amp;"","")</f>
        <v/>
      </c>
      <c r="E141" s="49">
        <f>IFERROR(INDEX('Content calendar'!$O$7:$O$506,MATCH(140,'Content calendar'!$P$7:$P$506,0))&amp;"","")</f>
        <v/>
      </c>
    </row>
    <row r="142">
      <c r="A142" s="49">
        <f>IFERROR(INDEX('Content calendar'!$H$7:$H$506,MATCH(141,'Content calendar'!$P$7:$P$506,0))&amp;"","")</f>
        <v/>
      </c>
      <c r="B142" s="49">
        <f>IFERROR(YEAR(INDEX('Content calendar'!$A$7:$A$506,MATCH(141,'Content calendar'!$P$7:$P$506,0)))&amp;"-"&amp;TEXT(MONTH(INDEX('Content calendar'!$A$7:$A$506,MATCH(141,'Content calendar'!$P$7:$P$506,0))),"00")&amp;"-"&amp;TEXT(DAY(INDEX('Content calendar'!$A$7:$A$506,MATCH(141,'Content calendar'!$P$7:$P$506,0))),"00")&amp;" "&amp;TEXT(HOUR(INDEX('Content calendar'!$B$7:$B$506,MATCH(141,'Content calendar'!$P$7:$P$506,0))),"00")&amp;":"&amp;TEXT(MINUTE(INDEX('Content calendar'!$B$7:$B$506,MATCH(141,'Content calendar'!$P$7:$P$506,0))),"00"),"")</f>
        <v/>
      </c>
      <c r="C142" s="49">
        <f>IFERROR(INDEX('Content calendar'!$K$7:$K$506,MATCH(141,'Content calendar'!$P$7:$P$506,0))&amp;"","")</f>
        <v/>
      </c>
      <c r="D142" s="49">
        <f>IFERROR(INDEX('Content calendar'!$L$7:$L$506,MATCH(141,'Content calendar'!$P$7:$P$506,0))&amp;"","")</f>
        <v/>
      </c>
      <c r="E142" s="49">
        <f>IFERROR(INDEX('Content calendar'!$O$7:$O$506,MATCH(141,'Content calendar'!$P$7:$P$506,0))&amp;"","")</f>
        <v/>
      </c>
    </row>
    <row r="143">
      <c r="A143" s="49">
        <f>IFERROR(INDEX('Content calendar'!$H$7:$H$506,MATCH(142,'Content calendar'!$P$7:$P$506,0))&amp;"","")</f>
        <v/>
      </c>
      <c r="B143" s="49">
        <f>IFERROR(YEAR(INDEX('Content calendar'!$A$7:$A$506,MATCH(142,'Content calendar'!$P$7:$P$506,0)))&amp;"-"&amp;TEXT(MONTH(INDEX('Content calendar'!$A$7:$A$506,MATCH(142,'Content calendar'!$P$7:$P$506,0))),"00")&amp;"-"&amp;TEXT(DAY(INDEX('Content calendar'!$A$7:$A$506,MATCH(142,'Content calendar'!$P$7:$P$506,0))),"00")&amp;" "&amp;TEXT(HOUR(INDEX('Content calendar'!$B$7:$B$506,MATCH(142,'Content calendar'!$P$7:$P$506,0))),"00")&amp;":"&amp;TEXT(MINUTE(INDEX('Content calendar'!$B$7:$B$506,MATCH(142,'Content calendar'!$P$7:$P$506,0))),"00"),"")</f>
        <v/>
      </c>
      <c r="C143" s="49">
        <f>IFERROR(INDEX('Content calendar'!$K$7:$K$506,MATCH(142,'Content calendar'!$P$7:$P$506,0))&amp;"","")</f>
        <v/>
      </c>
      <c r="D143" s="49">
        <f>IFERROR(INDEX('Content calendar'!$L$7:$L$506,MATCH(142,'Content calendar'!$P$7:$P$506,0))&amp;"","")</f>
        <v/>
      </c>
      <c r="E143" s="49">
        <f>IFERROR(INDEX('Content calendar'!$O$7:$O$506,MATCH(142,'Content calendar'!$P$7:$P$506,0))&amp;"","")</f>
        <v/>
      </c>
    </row>
    <row r="144">
      <c r="A144" s="49">
        <f>IFERROR(INDEX('Content calendar'!$H$7:$H$506,MATCH(143,'Content calendar'!$P$7:$P$506,0))&amp;"","")</f>
        <v/>
      </c>
      <c r="B144" s="49">
        <f>IFERROR(YEAR(INDEX('Content calendar'!$A$7:$A$506,MATCH(143,'Content calendar'!$P$7:$P$506,0)))&amp;"-"&amp;TEXT(MONTH(INDEX('Content calendar'!$A$7:$A$506,MATCH(143,'Content calendar'!$P$7:$P$506,0))),"00")&amp;"-"&amp;TEXT(DAY(INDEX('Content calendar'!$A$7:$A$506,MATCH(143,'Content calendar'!$P$7:$P$506,0))),"00")&amp;" "&amp;TEXT(HOUR(INDEX('Content calendar'!$B$7:$B$506,MATCH(143,'Content calendar'!$P$7:$P$506,0))),"00")&amp;":"&amp;TEXT(MINUTE(INDEX('Content calendar'!$B$7:$B$506,MATCH(143,'Content calendar'!$P$7:$P$506,0))),"00"),"")</f>
        <v/>
      </c>
      <c r="C144" s="49">
        <f>IFERROR(INDEX('Content calendar'!$K$7:$K$506,MATCH(143,'Content calendar'!$P$7:$P$506,0))&amp;"","")</f>
        <v/>
      </c>
      <c r="D144" s="49">
        <f>IFERROR(INDEX('Content calendar'!$L$7:$L$506,MATCH(143,'Content calendar'!$P$7:$P$506,0))&amp;"","")</f>
        <v/>
      </c>
      <c r="E144" s="49">
        <f>IFERROR(INDEX('Content calendar'!$O$7:$O$506,MATCH(143,'Content calendar'!$P$7:$P$506,0))&amp;"","")</f>
        <v/>
      </c>
    </row>
    <row r="145">
      <c r="A145" s="49">
        <f>IFERROR(INDEX('Content calendar'!$H$7:$H$506,MATCH(144,'Content calendar'!$P$7:$P$506,0))&amp;"","")</f>
        <v/>
      </c>
      <c r="B145" s="49">
        <f>IFERROR(YEAR(INDEX('Content calendar'!$A$7:$A$506,MATCH(144,'Content calendar'!$P$7:$P$506,0)))&amp;"-"&amp;TEXT(MONTH(INDEX('Content calendar'!$A$7:$A$506,MATCH(144,'Content calendar'!$P$7:$P$506,0))),"00")&amp;"-"&amp;TEXT(DAY(INDEX('Content calendar'!$A$7:$A$506,MATCH(144,'Content calendar'!$P$7:$P$506,0))),"00")&amp;" "&amp;TEXT(HOUR(INDEX('Content calendar'!$B$7:$B$506,MATCH(144,'Content calendar'!$P$7:$P$506,0))),"00")&amp;":"&amp;TEXT(MINUTE(INDEX('Content calendar'!$B$7:$B$506,MATCH(144,'Content calendar'!$P$7:$P$506,0))),"00"),"")</f>
        <v/>
      </c>
      <c r="C145" s="49">
        <f>IFERROR(INDEX('Content calendar'!$K$7:$K$506,MATCH(144,'Content calendar'!$P$7:$P$506,0))&amp;"","")</f>
        <v/>
      </c>
      <c r="D145" s="49">
        <f>IFERROR(INDEX('Content calendar'!$L$7:$L$506,MATCH(144,'Content calendar'!$P$7:$P$506,0))&amp;"","")</f>
        <v/>
      </c>
      <c r="E145" s="49">
        <f>IFERROR(INDEX('Content calendar'!$O$7:$O$506,MATCH(144,'Content calendar'!$P$7:$P$506,0))&amp;"","")</f>
        <v/>
      </c>
    </row>
    <row r="146">
      <c r="A146" s="49">
        <f>IFERROR(INDEX('Content calendar'!$H$7:$H$506,MATCH(145,'Content calendar'!$P$7:$P$506,0))&amp;"","")</f>
        <v/>
      </c>
      <c r="B146" s="49">
        <f>IFERROR(YEAR(INDEX('Content calendar'!$A$7:$A$506,MATCH(145,'Content calendar'!$P$7:$P$506,0)))&amp;"-"&amp;TEXT(MONTH(INDEX('Content calendar'!$A$7:$A$506,MATCH(145,'Content calendar'!$P$7:$P$506,0))),"00")&amp;"-"&amp;TEXT(DAY(INDEX('Content calendar'!$A$7:$A$506,MATCH(145,'Content calendar'!$P$7:$P$506,0))),"00")&amp;" "&amp;TEXT(HOUR(INDEX('Content calendar'!$B$7:$B$506,MATCH(145,'Content calendar'!$P$7:$P$506,0))),"00")&amp;":"&amp;TEXT(MINUTE(INDEX('Content calendar'!$B$7:$B$506,MATCH(145,'Content calendar'!$P$7:$P$506,0))),"00"),"")</f>
        <v/>
      </c>
      <c r="C146" s="49">
        <f>IFERROR(INDEX('Content calendar'!$K$7:$K$506,MATCH(145,'Content calendar'!$P$7:$P$506,0))&amp;"","")</f>
        <v/>
      </c>
      <c r="D146" s="49">
        <f>IFERROR(INDEX('Content calendar'!$L$7:$L$506,MATCH(145,'Content calendar'!$P$7:$P$506,0))&amp;"","")</f>
        <v/>
      </c>
      <c r="E146" s="49">
        <f>IFERROR(INDEX('Content calendar'!$O$7:$O$506,MATCH(145,'Content calendar'!$P$7:$P$506,0))&amp;"","")</f>
        <v/>
      </c>
    </row>
    <row r="147">
      <c r="A147" s="49">
        <f>IFERROR(INDEX('Content calendar'!$H$7:$H$506,MATCH(146,'Content calendar'!$P$7:$P$506,0))&amp;"","")</f>
        <v/>
      </c>
      <c r="B147" s="49">
        <f>IFERROR(YEAR(INDEX('Content calendar'!$A$7:$A$506,MATCH(146,'Content calendar'!$P$7:$P$506,0)))&amp;"-"&amp;TEXT(MONTH(INDEX('Content calendar'!$A$7:$A$506,MATCH(146,'Content calendar'!$P$7:$P$506,0))),"00")&amp;"-"&amp;TEXT(DAY(INDEX('Content calendar'!$A$7:$A$506,MATCH(146,'Content calendar'!$P$7:$P$506,0))),"00")&amp;" "&amp;TEXT(HOUR(INDEX('Content calendar'!$B$7:$B$506,MATCH(146,'Content calendar'!$P$7:$P$506,0))),"00")&amp;":"&amp;TEXT(MINUTE(INDEX('Content calendar'!$B$7:$B$506,MATCH(146,'Content calendar'!$P$7:$P$506,0))),"00"),"")</f>
        <v/>
      </c>
      <c r="C147" s="49">
        <f>IFERROR(INDEX('Content calendar'!$K$7:$K$506,MATCH(146,'Content calendar'!$P$7:$P$506,0))&amp;"","")</f>
        <v/>
      </c>
      <c r="D147" s="49">
        <f>IFERROR(INDEX('Content calendar'!$L$7:$L$506,MATCH(146,'Content calendar'!$P$7:$P$506,0))&amp;"","")</f>
        <v/>
      </c>
      <c r="E147" s="49">
        <f>IFERROR(INDEX('Content calendar'!$O$7:$O$506,MATCH(146,'Content calendar'!$P$7:$P$506,0))&amp;"","")</f>
        <v/>
      </c>
    </row>
    <row r="148">
      <c r="A148" s="49">
        <f>IFERROR(INDEX('Content calendar'!$H$7:$H$506,MATCH(147,'Content calendar'!$P$7:$P$506,0))&amp;"","")</f>
        <v/>
      </c>
      <c r="B148" s="49">
        <f>IFERROR(YEAR(INDEX('Content calendar'!$A$7:$A$506,MATCH(147,'Content calendar'!$P$7:$P$506,0)))&amp;"-"&amp;TEXT(MONTH(INDEX('Content calendar'!$A$7:$A$506,MATCH(147,'Content calendar'!$P$7:$P$506,0))),"00")&amp;"-"&amp;TEXT(DAY(INDEX('Content calendar'!$A$7:$A$506,MATCH(147,'Content calendar'!$P$7:$P$506,0))),"00")&amp;" "&amp;TEXT(HOUR(INDEX('Content calendar'!$B$7:$B$506,MATCH(147,'Content calendar'!$P$7:$P$506,0))),"00")&amp;":"&amp;TEXT(MINUTE(INDEX('Content calendar'!$B$7:$B$506,MATCH(147,'Content calendar'!$P$7:$P$506,0))),"00"),"")</f>
        <v/>
      </c>
      <c r="C148" s="49">
        <f>IFERROR(INDEX('Content calendar'!$K$7:$K$506,MATCH(147,'Content calendar'!$P$7:$P$506,0))&amp;"","")</f>
        <v/>
      </c>
      <c r="D148" s="49">
        <f>IFERROR(INDEX('Content calendar'!$L$7:$L$506,MATCH(147,'Content calendar'!$P$7:$P$506,0))&amp;"","")</f>
        <v/>
      </c>
      <c r="E148" s="49">
        <f>IFERROR(INDEX('Content calendar'!$O$7:$O$506,MATCH(147,'Content calendar'!$P$7:$P$506,0))&amp;"","")</f>
        <v/>
      </c>
    </row>
    <row r="149">
      <c r="A149" s="49">
        <f>IFERROR(INDEX('Content calendar'!$H$7:$H$506,MATCH(148,'Content calendar'!$P$7:$P$506,0))&amp;"","")</f>
        <v/>
      </c>
      <c r="B149" s="49">
        <f>IFERROR(YEAR(INDEX('Content calendar'!$A$7:$A$506,MATCH(148,'Content calendar'!$P$7:$P$506,0)))&amp;"-"&amp;TEXT(MONTH(INDEX('Content calendar'!$A$7:$A$506,MATCH(148,'Content calendar'!$P$7:$P$506,0))),"00")&amp;"-"&amp;TEXT(DAY(INDEX('Content calendar'!$A$7:$A$506,MATCH(148,'Content calendar'!$P$7:$P$506,0))),"00")&amp;" "&amp;TEXT(HOUR(INDEX('Content calendar'!$B$7:$B$506,MATCH(148,'Content calendar'!$P$7:$P$506,0))),"00")&amp;":"&amp;TEXT(MINUTE(INDEX('Content calendar'!$B$7:$B$506,MATCH(148,'Content calendar'!$P$7:$P$506,0))),"00"),"")</f>
        <v/>
      </c>
      <c r="C149" s="49">
        <f>IFERROR(INDEX('Content calendar'!$K$7:$K$506,MATCH(148,'Content calendar'!$P$7:$P$506,0))&amp;"","")</f>
        <v/>
      </c>
      <c r="D149" s="49">
        <f>IFERROR(INDEX('Content calendar'!$L$7:$L$506,MATCH(148,'Content calendar'!$P$7:$P$506,0))&amp;"","")</f>
        <v/>
      </c>
      <c r="E149" s="49">
        <f>IFERROR(INDEX('Content calendar'!$O$7:$O$506,MATCH(148,'Content calendar'!$P$7:$P$506,0))&amp;"","")</f>
        <v/>
      </c>
    </row>
    <row r="150">
      <c r="A150" s="49">
        <f>IFERROR(INDEX('Content calendar'!$H$7:$H$506,MATCH(149,'Content calendar'!$P$7:$P$506,0))&amp;"","")</f>
        <v/>
      </c>
      <c r="B150" s="49">
        <f>IFERROR(YEAR(INDEX('Content calendar'!$A$7:$A$506,MATCH(149,'Content calendar'!$P$7:$P$506,0)))&amp;"-"&amp;TEXT(MONTH(INDEX('Content calendar'!$A$7:$A$506,MATCH(149,'Content calendar'!$P$7:$P$506,0))),"00")&amp;"-"&amp;TEXT(DAY(INDEX('Content calendar'!$A$7:$A$506,MATCH(149,'Content calendar'!$P$7:$P$506,0))),"00")&amp;" "&amp;TEXT(HOUR(INDEX('Content calendar'!$B$7:$B$506,MATCH(149,'Content calendar'!$P$7:$P$506,0))),"00")&amp;":"&amp;TEXT(MINUTE(INDEX('Content calendar'!$B$7:$B$506,MATCH(149,'Content calendar'!$P$7:$P$506,0))),"00"),"")</f>
        <v/>
      </c>
      <c r="C150" s="49">
        <f>IFERROR(INDEX('Content calendar'!$K$7:$K$506,MATCH(149,'Content calendar'!$P$7:$P$506,0))&amp;"","")</f>
        <v/>
      </c>
      <c r="D150" s="49">
        <f>IFERROR(INDEX('Content calendar'!$L$7:$L$506,MATCH(149,'Content calendar'!$P$7:$P$506,0))&amp;"","")</f>
        <v/>
      </c>
      <c r="E150" s="49">
        <f>IFERROR(INDEX('Content calendar'!$O$7:$O$506,MATCH(149,'Content calendar'!$P$7:$P$506,0))&amp;"","")</f>
        <v/>
      </c>
    </row>
    <row r="151">
      <c r="A151" s="49">
        <f>IFERROR(INDEX('Content calendar'!$H$7:$H$506,MATCH(150,'Content calendar'!$P$7:$P$506,0))&amp;"","")</f>
        <v/>
      </c>
      <c r="B151" s="49">
        <f>IFERROR(YEAR(INDEX('Content calendar'!$A$7:$A$506,MATCH(150,'Content calendar'!$P$7:$P$506,0)))&amp;"-"&amp;TEXT(MONTH(INDEX('Content calendar'!$A$7:$A$506,MATCH(150,'Content calendar'!$P$7:$P$506,0))),"00")&amp;"-"&amp;TEXT(DAY(INDEX('Content calendar'!$A$7:$A$506,MATCH(150,'Content calendar'!$P$7:$P$506,0))),"00")&amp;" "&amp;TEXT(HOUR(INDEX('Content calendar'!$B$7:$B$506,MATCH(150,'Content calendar'!$P$7:$P$506,0))),"00")&amp;":"&amp;TEXT(MINUTE(INDEX('Content calendar'!$B$7:$B$506,MATCH(150,'Content calendar'!$P$7:$P$506,0))),"00"),"")</f>
        <v/>
      </c>
      <c r="C151" s="49">
        <f>IFERROR(INDEX('Content calendar'!$K$7:$K$506,MATCH(150,'Content calendar'!$P$7:$P$506,0))&amp;"","")</f>
        <v/>
      </c>
      <c r="D151" s="49">
        <f>IFERROR(INDEX('Content calendar'!$L$7:$L$506,MATCH(150,'Content calendar'!$P$7:$P$506,0))&amp;"","")</f>
        <v/>
      </c>
      <c r="E151" s="49">
        <f>IFERROR(INDEX('Content calendar'!$O$7:$O$506,MATCH(150,'Content calendar'!$P$7:$P$506,0))&amp;"","")</f>
        <v/>
      </c>
    </row>
    <row r="152">
      <c r="A152" s="49">
        <f>IFERROR(INDEX('Content calendar'!$H$7:$H$506,MATCH(151,'Content calendar'!$P$7:$P$506,0))&amp;"","")</f>
        <v/>
      </c>
      <c r="B152" s="49">
        <f>IFERROR(YEAR(INDEX('Content calendar'!$A$7:$A$506,MATCH(151,'Content calendar'!$P$7:$P$506,0)))&amp;"-"&amp;TEXT(MONTH(INDEX('Content calendar'!$A$7:$A$506,MATCH(151,'Content calendar'!$P$7:$P$506,0))),"00")&amp;"-"&amp;TEXT(DAY(INDEX('Content calendar'!$A$7:$A$506,MATCH(151,'Content calendar'!$P$7:$P$506,0))),"00")&amp;" "&amp;TEXT(HOUR(INDEX('Content calendar'!$B$7:$B$506,MATCH(151,'Content calendar'!$P$7:$P$506,0))),"00")&amp;":"&amp;TEXT(MINUTE(INDEX('Content calendar'!$B$7:$B$506,MATCH(151,'Content calendar'!$P$7:$P$506,0))),"00"),"")</f>
        <v/>
      </c>
      <c r="C152" s="49">
        <f>IFERROR(INDEX('Content calendar'!$K$7:$K$506,MATCH(151,'Content calendar'!$P$7:$P$506,0))&amp;"","")</f>
        <v/>
      </c>
      <c r="D152" s="49">
        <f>IFERROR(INDEX('Content calendar'!$L$7:$L$506,MATCH(151,'Content calendar'!$P$7:$P$506,0))&amp;"","")</f>
        <v/>
      </c>
      <c r="E152" s="49">
        <f>IFERROR(INDEX('Content calendar'!$O$7:$O$506,MATCH(151,'Content calendar'!$P$7:$P$506,0))&amp;"","")</f>
        <v/>
      </c>
    </row>
    <row r="153">
      <c r="A153" s="49">
        <f>IFERROR(INDEX('Content calendar'!$H$7:$H$506,MATCH(152,'Content calendar'!$P$7:$P$506,0))&amp;"","")</f>
        <v/>
      </c>
      <c r="B153" s="49">
        <f>IFERROR(YEAR(INDEX('Content calendar'!$A$7:$A$506,MATCH(152,'Content calendar'!$P$7:$P$506,0)))&amp;"-"&amp;TEXT(MONTH(INDEX('Content calendar'!$A$7:$A$506,MATCH(152,'Content calendar'!$P$7:$P$506,0))),"00")&amp;"-"&amp;TEXT(DAY(INDEX('Content calendar'!$A$7:$A$506,MATCH(152,'Content calendar'!$P$7:$P$506,0))),"00")&amp;" "&amp;TEXT(HOUR(INDEX('Content calendar'!$B$7:$B$506,MATCH(152,'Content calendar'!$P$7:$P$506,0))),"00")&amp;":"&amp;TEXT(MINUTE(INDEX('Content calendar'!$B$7:$B$506,MATCH(152,'Content calendar'!$P$7:$P$506,0))),"00"),"")</f>
        <v/>
      </c>
      <c r="C153" s="49">
        <f>IFERROR(INDEX('Content calendar'!$K$7:$K$506,MATCH(152,'Content calendar'!$P$7:$P$506,0))&amp;"","")</f>
        <v/>
      </c>
      <c r="D153" s="49">
        <f>IFERROR(INDEX('Content calendar'!$L$7:$L$506,MATCH(152,'Content calendar'!$P$7:$P$506,0))&amp;"","")</f>
        <v/>
      </c>
      <c r="E153" s="49">
        <f>IFERROR(INDEX('Content calendar'!$O$7:$O$506,MATCH(152,'Content calendar'!$P$7:$P$506,0))&amp;"","")</f>
        <v/>
      </c>
    </row>
    <row r="154">
      <c r="A154" s="49">
        <f>IFERROR(INDEX('Content calendar'!$H$7:$H$506,MATCH(153,'Content calendar'!$P$7:$P$506,0))&amp;"","")</f>
        <v/>
      </c>
      <c r="B154" s="49">
        <f>IFERROR(YEAR(INDEX('Content calendar'!$A$7:$A$506,MATCH(153,'Content calendar'!$P$7:$P$506,0)))&amp;"-"&amp;TEXT(MONTH(INDEX('Content calendar'!$A$7:$A$506,MATCH(153,'Content calendar'!$P$7:$P$506,0))),"00")&amp;"-"&amp;TEXT(DAY(INDEX('Content calendar'!$A$7:$A$506,MATCH(153,'Content calendar'!$P$7:$P$506,0))),"00")&amp;" "&amp;TEXT(HOUR(INDEX('Content calendar'!$B$7:$B$506,MATCH(153,'Content calendar'!$P$7:$P$506,0))),"00")&amp;":"&amp;TEXT(MINUTE(INDEX('Content calendar'!$B$7:$B$506,MATCH(153,'Content calendar'!$P$7:$P$506,0))),"00"),"")</f>
        <v/>
      </c>
      <c r="C154" s="49">
        <f>IFERROR(INDEX('Content calendar'!$K$7:$K$506,MATCH(153,'Content calendar'!$P$7:$P$506,0))&amp;"","")</f>
        <v/>
      </c>
      <c r="D154" s="49">
        <f>IFERROR(INDEX('Content calendar'!$L$7:$L$506,MATCH(153,'Content calendar'!$P$7:$P$506,0))&amp;"","")</f>
        <v/>
      </c>
      <c r="E154" s="49">
        <f>IFERROR(INDEX('Content calendar'!$O$7:$O$506,MATCH(153,'Content calendar'!$P$7:$P$506,0))&amp;"","")</f>
        <v/>
      </c>
    </row>
    <row r="155">
      <c r="A155" s="49">
        <f>IFERROR(INDEX('Content calendar'!$H$7:$H$506,MATCH(154,'Content calendar'!$P$7:$P$506,0))&amp;"","")</f>
        <v/>
      </c>
      <c r="B155" s="49">
        <f>IFERROR(YEAR(INDEX('Content calendar'!$A$7:$A$506,MATCH(154,'Content calendar'!$P$7:$P$506,0)))&amp;"-"&amp;TEXT(MONTH(INDEX('Content calendar'!$A$7:$A$506,MATCH(154,'Content calendar'!$P$7:$P$506,0))),"00")&amp;"-"&amp;TEXT(DAY(INDEX('Content calendar'!$A$7:$A$506,MATCH(154,'Content calendar'!$P$7:$P$506,0))),"00")&amp;" "&amp;TEXT(HOUR(INDEX('Content calendar'!$B$7:$B$506,MATCH(154,'Content calendar'!$P$7:$P$506,0))),"00")&amp;":"&amp;TEXT(MINUTE(INDEX('Content calendar'!$B$7:$B$506,MATCH(154,'Content calendar'!$P$7:$P$506,0))),"00"),"")</f>
        <v/>
      </c>
      <c r="C155" s="49">
        <f>IFERROR(INDEX('Content calendar'!$K$7:$K$506,MATCH(154,'Content calendar'!$P$7:$P$506,0))&amp;"","")</f>
        <v/>
      </c>
      <c r="D155" s="49">
        <f>IFERROR(INDEX('Content calendar'!$L$7:$L$506,MATCH(154,'Content calendar'!$P$7:$P$506,0))&amp;"","")</f>
        <v/>
      </c>
      <c r="E155" s="49">
        <f>IFERROR(INDEX('Content calendar'!$O$7:$O$506,MATCH(154,'Content calendar'!$P$7:$P$506,0))&amp;"","")</f>
        <v/>
      </c>
    </row>
    <row r="156">
      <c r="A156" s="49">
        <f>IFERROR(INDEX('Content calendar'!$H$7:$H$506,MATCH(155,'Content calendar'!$P$7:$P$506,0))&amp;"","")</f>
        <v/>
      </c>
      <c r="B156" s="49">
        <f>IFERROR(YEAR(INDEX('Content calendar'!$A$7:$A$506,MATCH(155,'Content calendar'!$P$7:$P$506,0)))&amp;"-"&amp;TEXT(MONTH(INDEX('Content calendar'!$A$7:$A$506,MATCH(155,'Content calendar'!$P$7:$P$506,0))),"00")&amp;"-"&amp;TEXT(DAY(INDEX('Content calendar'!$A$7:$A$506,MATCH(155,'Content calendar'!$P$7:$P$506,0))),"00")&amp;" "&amp;TEXT(HOUR(INDEX('Content calendar'!$B$7:$B$506,MATCH(155,'Content calendar'!$P$7:$P$506,0))),"00")&amp;":"&amp;TEXT(MINUTE(INDEX('Content calendar'!$B$7:$B$506,MATCH(155,'Content calendar'!$P$7:$P$506,0))),"00"),"")</f>
        <v/>
      </c>
      <c r="C156" s="49">
        <f>IFERROR(INDEX('Content calendar'!$K$7:$K$506,MATCH(155,'Content calendar'!$P$7:$P$506,0))&amp;"","")</f>
        <v/>
      </c>
      <c r="D156" s="49">
        <f>IFERROR(INDEX('Content calendar'!$L$7:$L$506,MATCH(155,'Content calendar'!$P$7:$P$506,0))&amp;"","")</f>
        <v/>
      </c>
      <c r="E156" s="49">
        <f>IFERROR(INDEX('Content calendar'!$O$7:$O$506,MATCH(155,'Content calendar'!$P$7:$P$506,0))&amp;"","")</f>
        <v/>
      </c>
    </row>
    <row r="157">
      <c r="A157" s="49">
        <f>IFERROR(INDEX('Content calendar'!$H$7:$H$506,MATCH(156,'Content calendar'!$P$7:$P$506,0))&amp;"","")</f>
        <v/>
      </c>
      <c r="B157" s="49">
        <f>IFERROR(YEAR(INDEX('Content calendar'!$A$7:$A$506,MATCH(156,'Content calendar'!$P$7:$P$506,0)))&amp;"-"&amp;TEXT(MONTH(INDEX('Content calendar'!$A$7:$A$506,MATCH(156,'Content calendar'!$P$7:$P$506,0))),"00")&amp;"-"&amp;TEXT(DAY(INDEX('Content calendar'!$A$7:$A$506,MATCH(156,'Content calendar'!$P$7:$P$506,0))),"00")&amp;" "&amp;TEXT(HOUR(INDEX('Content calendar'!$B$7:$B$506,MATCH(156,'Content calendar'!$P$7:$P$506,0))),"00")&amp;":"&amp;TEXT(MINUTE(INDEX('Content calendar'!$B$7:$B$506,MATCH(156,'Content calendar'!$P$7:$P$506,0))),"00"),"")</f>
        <v/>
      </c>
      <c r="C157" s="49">
        <f>IFERROR(INDEX('Content calendar'!$K$7:$K$506,MATCH(156,'Content calendar'!$P$7:$P$506,0))&amp;"","")</f>
        <v/>
      </c>
      <c r="D157" s="49">
        <f>IFERROR(INDEX('Content calendar'!$L$7:$L$506,MATCH(156,'Content calendar'!$P$7:$P$506,0))&amp;"","")</f>
        <v/>
      </c>
      <c r="E157" s="49">
        <f>IFERROR(INDEX('Content calendar'!$O$7:$O$506,MATCH(156,'Content calendar'!$P$7:$P$506,0))&amp;"","")</f>
        <v/>
      </c>
    </row>
    <row r="158">
      <c r="A158" s="49">
        <f>IFERROR(INDEX('Content calendar'!$H$7:$H$506,MATCH(157,'Content calendar'!$P$7:$P$506,0))&amp;"","")</f>
        <v/>
      </c>
      <c r="B158" s="49">
        <f>IFERROR(YEAR(INDEX('Content calendar'!$A$7:$A$506,MATCH(157,'Content calendar'!$P$7:$P$506,0)))&amp;"-"&amp;TEXT(MONTH(INDEX('Content calendar'!$A$7:$A$506,MATCH(157,'Content calendar'!$P$7:$P$506,0))),"00")&amp;"-"&amp;TEXT(DAY(INDEX('Content calendar'!$A$7:$A$506,MATCH(157,'Content calendar'!$P$7:$P$506,0))),"00")&amp;" "&amp;TEXT(HOUR(INDEX('Content calendar'!$B$7:$B$506,MATCH(157,'Content calendar'!$P$7:$P$506,0))),"00")&amp;":"&amp;TEXT(MINUTE(INDEX('Content calendar'!$B$7:$B$506,MATCH(157,'Content calendar'!$P$7:$P$506,0))),"00"),"")</f>
        <v/>
      </c>
      <c r="C158" s="49">
        <f>IFERROR(INDEX('Content calendar'!$K$7:$K$506,MATCH(157,'Content calendar'!$P$7:$P$506,0))&amp;"","")</f>
        <v/>
      </c>
      <c r="D158" s="49">
        <f>IFERROR(INDEX('Content calendar'!$L$7:$L$506,MATCH(157,'Content calendar'!$P$7:$P$506,0))&amp;"","")</f>
        <v/>
      </c>
      <c r="E158" s="49">
        <f>IFERROR(INDEX('Content calendar'!$O$7:$O$506,MATCH(157,'Content calendar'!$P$7:$P$506,0))&amp;"","")</f>
        <v/>
      </c>
    </row>
    <row r="159">
      <c r="A159" s="49">
        <f>IFERROR(INDEX('Content calendar'!$H$7:$H$506,MATCH(158,'Content calendar'!$P$7:$P$506,0))&amp;"","")</f>
        <v/>
      </c>
      <c r="B159" s="49">
        <f>IFERROR(YEAR(INDEX('Content calendar'!$A$7:$A$506,MATCH(158,'Content calendar'!$P$7:$P$506,0)))&amp;"-"&amp;TEXT(MONTH(INDEX('Content calendar'!$A$7:$A$506,MATCH(158,'Content calendar'!$P$7:$P$506,0))),"00")&amp;"-"&amp;TEXT(DAY(INDEX('Content calendar'!$A$7:$A$506,MATCH(158,'Content calendar'!$P$7:$P$506,0))),"00")&amp;" "&amp;TEXT(HOUR(INDEX('Content calendar'!$B$7:$B$506,MATCH(158,'Content calendar'!$P$7:$P$506,0))),"00")&amp;":"&amp;TEXT(MINUTE(INDEX('Content calendar'!$B$7:$B$506,MATCH(158,'Content calendar'!$P$7:$P$506,0))),"00"),"")</f>
        <v/>
      </c>
      <c r="C159" s="49">
        <f>IFERROR(INDEX('Content calendar'!$K$7:$K$506,MATCH(158,'Content calendar'!$P$7:$P$506,0))&amp;"","")</f>
        <v/>
      </c>
      <c r="D159" s="49">
        <f>IFERROR(INDEX('Content calendar'!$L$7:$L$506,MATCH(158,'Content calendar'!$P$7:$P$506,0))&amp;"","")</f>
        <v/>
      </c>
      <c r="E159" s="49">
        <f>IFERROR(INDEX('Content calendar'!$O$7:$O$506,MATCH(158,'Content calendar'!$P$7:$P$506,0))&amp;"","")</f>
        <v/>
      </c>
    </row>
    <row r="160">
      <c r="A160" s="49">
        <f>IFERROR(INDEX('Content calendar'!$H$7:$H$506,MATCH(159,'Content calendar'!$P$7:$P$506,0))&amp;"","")</f>
        <v/>
      </c>
      <c r="B160" s="49">
        <f>IFERROR(YEAR(INDEX('Content calendar'!$A$7:$A$506,MATCH(159,'Content calendar'!$P$7:$P$506,0)))&amp;"-"&amp;TEXT(MONTH(INDEX('Content calendar'!$A$7:$A$506,MATCH(159,'Content calendar'!$P$7:$P$506,0))),"00")&amp;"-"&amp;TEXT(DAY(INDEX('Content calendar'!$A$7:$A$506,MATCH(159,'Content calendar'!$P$7:$P$506,0))),"00")&amp;" "&amp;TEXT(HOUR(INDEX('Content calendar'!$B$7:$B$506,MATCH(159,'Content calendar'!$P$7:$P$506,0))),"00")&amp;":"&amp;TEXT(MINUTE(INDEX('Content calendar'!$B$7:$B$506,MATCH(159,'Content calendar'!$P$7:$P$506,0))),"00"),"")</f>
        <v/>
      </c>
      <c r="C160" s="49">
        <f>IFERROR(INDEX('Content calendar'!$K$7:$K$506,MATCH(159,'Content calendar'!$P$7:$P$506,0))&amp;"","")</f>
        <v/>
      </c>
      <c r="D160" s="49">
        <f>IFERROR(INDEX('Content calendar'!$L$7:$L$506,MATCH(159,'Content calendar'!$P$7:$P$506,0))&amp;"","")</f>
        <v/>
      </c>
      <c r="E160" s="49">
        <f>IFERROR(INDEX('Content calendar'!$O$7:$O$506,MATCH(159,'Content calendar'!$P$7:$P$506,0))&amp;"","")</f>
        <v/>
      </c>
    </row>
    <row r="161">
      <c r="A161" s="49">
        <f>IFERROR(INDEX('Content calendar'!$H$7:$H$506,MATCH(160,'Content calendar'!$P$7:$P$506,0))&amp;"","")</f>
        <v/>
      </c>
      <c r="B161" s="49">
        <f>IFERROR(YEAR(INDEX('Content calendar'!$A$7:$A$506,MATCH(160,'Content calendar'!$P$7:$P$506,0)))&amp;"-"&amp;TEXT(MONTH(INDEX('Content calendar'!$A$7:$A$506,MATCH(160,'Content calendar'!$P$7:$P$506,0))),"00")&amp;"-"&amp;TEXT(DAY(INDEX('Content calendar'!$A$7:$A$506,MATCH(160,'Content calendar'!$P$7:$P$506,0))),"00")&amp;" "&amp;TEXT(HOUR(INDEX('Content calendar'!$B$7:$B$506,MATCH(160,'Content calendar'!$P$7:$P$506,0))),"00")&amp;":"&amp;TEXT(MINUTE(INDEX('Content calendar'!$B$7:$B$506,MATCH(160,'Content calendar'!$P$7:$P$506,0))),"00"),"")</f>
        <v/>
      </c>
      <c r="C161" s="49">
        <f>IFERROR(INDEX('Content calendar'!$K$7:$K$506,MATCH(160,'Content calendar'!$P$7:$P$506,0))&amp;"","")</f>
        <v/>
      </c>
      <c r="D161" s="49">
        <f>IFERROR(INDEX('Content calendar'!$L$7:$L$506,MATCH(160,'Content calendar'!$P$7:$P$506,0))&amp;"","")</f>
        <v/>
      </c>
      <c r="E161" s="49">
        <f>IFERROR(INDEX('Content calendar'!$O$7:$O$506,MATCH(160,'Content calendar'!$P$7:$P$506,0))&amp;"","")</f>
        <v/>
      </c>
    </row>
    <row r="162">
      <c r="A162" s="49">
        <f>IFERROR(INDEX('Content calendar'!$H$7:$H$506,MATCH(161,'Content calendar'!$P$7:$P$506,0))&amp;"","")</f>
        <v/>
      </c>
      <c r="B162" s="49">
        <f>IFERROR(YEAR(INDEX('Content calendar'!$A$7:$A$506,MATCH(161,'Content calendar'!$P$7:$P$506,0)))&amp;"-"&amp;TEXT(MONTH(INDEX('Content calendar'!$A$7:$A$506,MATCH(161,'Content calendar'!$P$7:$P$506,0))),"00")&amp;"-"&amp;TEXT(DAY(INDEX('Content calendar'!$A$7:$A$506,MATCH(161,'Content calendar'!$P$7:$P$506,0))),"00")&amp;" "&amp;TEXT(HOUR(INDEX('Content calendar'!$B$7:$B$506,MATCH(161,'Content calendar'!$P$7:$P$506,0))),"00")&amp;":"&amp;TEXT(MINUTE(INDEX('Content calendar'!$B$7:$B$506,MATCH(161,'Content calendar'!$P$7:$P$506,0))),"00"),"")</f>
        <v/>
      </c>
      <c r="C162" s="49">
        <f>IFERROR(INDEX('Content calendar'!$K$7:$K$506,MATCH(161,'Content calendar'!$P$7:$P$506,0))&amp;"","")</f>
        <v/>
      </c>
      <c r="D162" s="49">
        <f>IFERROR(INDEX('Content calendar'!$L$7:$L$506,MATCH(161,'Content calendar'!$P$7:$P$506,0))&amp;"","")</f>
        <v/>
      </c>
      <c r="E162" s="49">
        <f>IFERROR(INDEX('Content calendar'!$O$7:$O$506,MATCH(161,'Content calendar'!$P$7:$P$506,0))&amp;"","")</f>
        <v/>
      </c>
    </row>
    <row r="163">
      <c r="A163" s="49">
        <f>IFERROR(INDEX('Content calendar'!$H$7:$H$506,MATCH(162,'Content calendar'!$P$7:$P$506,0))&amp;"","")</f>
        <v/>
      </c>
      <c r="B163" s="49">
        <f>IFERROR(YEAR(INDEX('Content calendar'!$A$7:$A$506,MATCH(162,'Content calendar'!$P$7:$P$506,0)))&amp;"-"&amp;TEXT(MONTH(INDEX('Content calendar'!$A$7:$A$506,MATCH(162,'Content calendar'!$P$7:$P$506,0))),"00")&amp;"-"&amp;TEXT(DAY(INDEX('Content calendar'!$A$7:$A$506,MATCH(162,'Content calendar'!$P$7:$P$506,0))),"00")&amp;" "&amp;TEXT(HOUR(INDEX('Content calendar'!$B$7:$B$506,MATCH(162,'Content calendar'!$P$7:$P$506,0))),"00")&amp;":"&amp;TEXT(MINUTE(INDEX('Content calendar'!$B$7:$B$506,MATCH(162,'Content calendar'!$P$7:$P$506,0))),"00"),"")</f>
        <v/>
      </c>
      <c r="C163" s="49">
        <f>IFERROR(INDEX('Content calendar'!$K$7:$K$506,MATCH(162,'Content calendar'!$P$7:$P$506,0))&amp;"","")</f>
        <v/>
      </c>
      <c r="D163" s="49">
        <f>IFERROR(INDEX('Content calendar'!$L$7:$L$506,MATCH(162,'Content calendar'!$P$7:$P$506,0))&amp;"","")</f>
        <v/>
      </c>
      <c r="E163" s="49">
        <f>IFERROR(INDEX('Content calendar'!$O$7:$O$506,MATCH(162,'Content calendar'!$P$7:$P$506,0))&amp;"","")</f>
        <v/>
      </c>
    </row>
    <row r="164">
      <c r="A164" s="49">
        <f>IFERROR(INDEX('Content calendar'!$H$7:$H$506,MATCH(163,'Content calendar'!$P$7:$P$506,0))&amp;"","")</f>
        <v/>
      </c>
      <c r="B164" s="49">
        <f>IFERROR(YEAR(INDEX('Content calendar'!$A$7:$A$506,MATCH(163,'Content calendar'!$P$7:$P$506,0)))&amp;"-"&amp;TEXT(MONTH(INDEX('Content calendar'!$A$7:$A$506,MATCH(163,'Content calendar'!$P$7:$P$506,0))),"00")&amp;"-"&amp;TEXT(DAY(INDEX('Content calendar'!$A$7:$A$506,MATCH(163,'Content calendar'!$P$7:$P$506,0))),"00")&amp;" "&amp;TEXT(HOUR(INDEX('Content calendar'!$B$7:$B$506,MATCH(163,'Content calendar'!$P$7:$P$506,0))),"00")&amp;":"&amp;TEXT(MINUTE(INDEX('Content calendar'!$B$7:$B$506,MATCH(163,'Content calendar'!$P$7:$P$506,0))),"00"),"")</f>
        <v/>
      </c>
      <c r="C164" s="49">
        <f>IFERROR(INDEX('Content calendar'!$K$7:$K$506,MATCH(163,'Content calendar'!$P$7:$P$506,0))&amp;"","")</f>
        <v/>
      </c>
      <c r="D164" s="49">
        <f>IFERROR(INDEX('Content calendar'!$L$7:$L$506,MATCH(163,'Content calendar'!$P$7:$P$506,0))&amp;"","")</f>
        <v/>
      </c>
      <c r="E164" s="49">
        <f>IFERROR(INDEX('Content calendar'!$O$7:$O$506,MATCH(163,'Content calendar'!$P$7:$P$506,0))&amp;"","")</f>
        <v/>
      </c>
    </row>
    <row r="165">
      <c r="A165" s="49">
        <f>IFERROR(INDEX('Content calendar'!$H$7:$H$506,MATCH(164,'Content calendar'!$P$7:$P$506,0))&amp;"","")</f>
        <v/>
      </c>
      <c r="B165" s="49">
        <f>IFERROR(YEAR(INDEX('Content calendar'!$A$7:$A$506,MATCH(164,'Content calendar'!$P$7:$P$506,0)))&amp;"-"&amp;TEXT(MONTH(INDEX('Content calendar'!$A$7:$A$506,MATCH(164,'Content calendar'!$P$7:$P$506,0))),"00")&amp;"-"&amp;TEXT(DAY(INDEX('Content calendar'!$A$7:$A$506,MATCH(164,'Content calendar'!$P$7:$P$506,0))),"00")&amp;" "&amp;TEXT(HOUR(INDEX('Content calendar'!$B$7:$B$506,MATCH(164,'Content calendar'!$P$7:$P$506,0))),"00")&amp;":"&amp;TEXT(MINUTE(INDEX('Content calendar'!$B$7:$B$506,MATCH(164,'Content calendar'!$P$7:$P$506,0))),"00"),"")</f>
        <v/>
      </c>
      <c r="C165" s="49">
        <f>IFERROR(INDEX('Content calendar'!$K$7:$K$506,MATCH(164,'Content calendar'!$P$7:$P$506,0))&amp;"","")</f>
        <v/>
      </c>
      <c r="D165" s="49">
        <f>IFERROR(INDEX('Content calendar'!$L$7:$L$506,MATCH(164,'Content calendar'!$P$7:$P$506,0))&amp;"","")</f>
        <v/>
      </c>
      <c r="E165" s="49">
        <f>IFERROR(INDEX('Content calendar'!$O$7:$O$506,MATCH(164,'Content calendar'!$P$7:$P$506,0))&amp;"","")</f>
        <v/>
      </c>
    </row>
    <row r="166">
      <c r="A166" s="49">
        <f>IFERROR(INDEX('Content calendar'!$H$7:$H$506,MATCH(165,'Content calendar'!$P$7:$P$506,0))&amp;"","")</f>
        <v/>
      </c>
      <c r="B166" s="49">
        <f>IFERROR(YEAR(INDEX('Content calendar'!$A$7:$A$506,MATCH(165,'Content calendar'!$P$7:$P$506,0)))&amp;"-"&amp;TEXT(MONTH(INDEX('Content calendar'!$A$7:$A$506,MATCH(165,'Content calendar'!$P$7:$P$506,0))),"00")&amp;"-"&amp;TEXT(DAY(INDEX('Content calendar'!$A$7:$A$506,MATCH(165,'Content calendar'!$P$7:$P$506,0))),"00")&amp;" "&amp;TEXT(HOUR(INDEX('Content calendar'!$B$7:$B$506,MATCH(165,'Content calendar'!$P$7:$P$506,0))),"00")&amp;":"&amp;TEXT(MINUTE(INDEX('Content calendar'!$B$7:$B$506,MATCH(165,'Content calendar'!$P$7:$P$506,0))),"00"),"")</f>
        <v/>
      </c>
      <c r="C166" s="49">
        <f>IFERROR(INDEX('Content calendar'!$K$7:$K$506,MATCH(165,'Content calendar'!$P$7:$P$506,0))&amp;"","")</f>
        <v/>
      </c>
      <c r="D166" s="49">
        <f>IFERROR(INDEX('Content calendar'!$L$7:$L$506,MATCH(165,'Content calendar'!$P$7:$P$506,0))&amp;"","")</f>
        <v/>
      </c>
      <c r="E166" s="49">
        <f>IFERROR(INDEX('Content calendar'!$O$7:$O$506,MATCH(165,'Content calendar'!$P$7:$P$506,0))&amp;"","")</f>
        <v/>
      </c>
    </row>
    <row r="167">
      <c r="A167" s="49">
        <f>IFERROR(INDEX('Content calendar'!$H$7:$H$506,MATCH(166,'Content calendar'!$P$7:$P$506,0))&amp;"","")</f>
        <v/>
      </c>
      <c r="B167" s="49">
        <f>IFERROR(YEAR(INDEX('Content calendar'!$A$7:$A$506,MATCH(166,'Content calendar'!$P$7:$P$506,0)))&amp;"-"&amp;TEXT(MONTH(INDEX('Content calendar'!$A$7:$A$506,MATCH(166,'Content calendar'!$P$7:$P$506,0))),"00")&amp;"-"&amp;TEXT(DAY(INDEX('Content calendar'!$A$7:$A$506,MATCH(166,'Content calendar'!$P$7:$P$506,0))),"00")&amp;" "&amp;TEXT(HOUR(INDEX('Content calendar'!$B$7:$B$506,MATCH(166,'Content calendar'!$P$7:$P$506,0))),"00")&amp;":"&amp;TEXT(MINUTE(INDEX('Content calendar'!$B$7:$B$506,MATCH(166,'Content calendar'!$P$7:$P$506,0))),"00"),"")</f>
        <v/>
      </c>
      <c r="C167" s="49">
        <f>IFERROR(INDEX('Content calendar'!$K$7:$K$506,MATCH(166,'Content calendar'!$P$7:$P$506,0))&amp;"","")</f>
        <v/>
      </c>
      <c r="D167" s="49">
        <f>IFERROR(INDEX('Content calendar'!$L$7:$L$506,MATCH(166,'Content calendar'!$P$7:$P$506,0))&amp;"","")</f>
        <v/>
      </c>
      <c r="E167" s="49">
        <f>IFERROR(INDEX('Content calendar'!$O$7:$O$506,MATCH(166,'Content calendar'!$P$7:$P$506,0))&amp;"","")</f>
        <v/>
      </c>
    </row>
    <row r="168">
      <c r="A168" s="49">
        <f>IFERROR(INDEX('Content calendar'!$H$7:$H$506,MATCH(167,'Content calendar'!$P$7:$P$506,0))&amp;"","")</f>
        <v/>
      </c>
      <c r="B168" s="49">
        <f>IFERROR(YEAR(INDEX('Content calendar'!$A$7:$A$506,MATCH(167,'Content calendar'!$P$7:$P$506,0)))&amp;"-"&amp;TEXT(MONTH(INDEX('Content calendar'!$A$7:$A$506,MATCH(167,'Content calendar'!$P$7:$P$506,0))),"00")&amp;"-"&amp;TEXT(DAY(INDEX('Content calendar'!$A$7:$A$506,MATCH(167,'Content calendar'!$P$7:$P$506,0))),"00")&amp;" "&amp;TEXT(HOUR(INDEX('Content calendar'!$B$7:$B$506,MATCH(167,'Content calendar'!$P$7:$P$506,0))),"00")&amp;":"&amp;TEXT(MINUTE(INDEX('Content calendar'!$B$7:$B$506,MATCH(167,'Content calendar'!$P$7:$P$506,0))),"00"),"")</f>
        <v/>
      </c>
      <c r="C168" s="49">
        <f>IFERROR(INDEX('Content calendar'!$K$7:$K$506,MATCH(167,'Content calendar'!$P$7:$P$506,0))&amp;"","")</f>
        <v/>
      </c>
      <c r="D168" s="49">
        <f>IFERROR(INDEX('Content calendar'!$L$7:$L$506,MATCH(167,'Content calendar'!$P$7:$P$506,0))&amp;"","")</f>
        <v/>
      </c>
      <c r="E168" s="49">
        <f>IFERROR(INDEX('Content calendar'!$O$7:$O$506,MATCH(167,'Content calendar'!$P$7:$P$506,0))&amp;"","")</f>
        <v/>
      </c>
    </row>
    <row r="169">
      <c r="A169" s="49">
        <f>IFERROR(INDEX('Content calendar'!$H$7:$H$506,MATCH(168,'Content calendar'!$P$7:$P$506,0))&amp;"","")</f>
        <v/>
      </c>
      <c r="B169" s="49">
        <f>IFERROR(YEAR(INDEX('Content calendar'!$A$7:$A$506,MATCH(168,'Content calendar'!$P$7:$P$506,0)))&amp;"-"&amp;TEXT(MONTH(INDEX('Content calendar'!$A$7:$A$506,MATCH(168,'Content calendar'!$P$7:$P$506,0))),"00")&amp;"-"&amp;TEXT(DAY(INDEX('Content calendar'!$A$7:$A$506,MATCH(168,'Content calendar'!$P$7:$P$506,0))),"00")&amp;" "&amp;TEXT(HOUR(INDEX('Content calendar'!$B$7:$B$506,MATCH(168,'Content calendar'!$P$7:$P$506,0))),"00")&amp;":"&amp;TEXT(MINUTE(INDEX('Content calendar'!$B$7:$B$506,MATCH(168,'Content calendar'!$P$7:$P$506,0))),"00"),"")</f>
        <v/>
      </c>
      <c r="C169" s="49">
        <f>IFERROR(INDEX('Content calendar'!$K$7:$K$506,MATCH(168,'Content calendar'!$P$7:$P$506,0))&amp;"","")</f>
        <v/>
      </c>
      <c r="D169" s="49">
        <f>IFERROR(INDEX('Content calendar'!$L$7:$L$506,MATCH(168,'Content calendar'!$P$7:$P$506,0))&amp;"","")</f>
        <v/>
      </c>
      <c r="E169" s="49">
        <f>IFERROR(INDEX('Content calendar'!$O$7:$O$506,MATCH(168,'Content calendar'!$P$7:$P$506,0))&amp;"","")</f>
        <v/>
      </c>
    </row>
    <row r="170">
      <c r="A170" s="49">
        <f>IFERROR(INDEX('Content calendar'!$H$7:$H$506,MATCH(169,'Content calendar'!$P$7:$P$506,0))&amp;"","")</f>
        <v/>
      </c>
      <c r="B170" s="49">
        <f>IFERROR(YEAR(INDEX('Content calendar'!$A$7:$A$506,MATCH(169,'Content calendar'!$P$7:$P$506,0)))&amp;"-"&amp;TEXT(MONTH(INDEX('Content calendar'!$A$7:$A$506,MATCH(169,'Content calendar'!$P$7:$P$506,0))),"00")&amp;"-"&amp;TEXT(DAY(INDEX('Content calendar'!$A$7:$A$506,MATCH(169,'Content calendar'!$P$7:$P$506,0))),"00")&amp;" "&amp;TEXT(HOUR(INDEX('Content calendar'!$B$7:$B$506,MATCH(169,'Content calendar'!$P$7:$P$506,0))),"00")&amp;":"&amp;TEXT(MINUTE(INDEX('Content calendar'!$B$7:$B$506,MATCH(169,'Content calendar'!$P$7:$P$506,0))),"00"),"")</f>
        <v/>
      </c>
      <c r="C170" s="49">
        <f>IFERROR(INDEX('Content calendar'!$K$7:$K$506,MATCH(169,'Content calendar'!$P$7:$P$506,0))&amp;"","")</f>
        <v/>
      </c>
      <c r="D170" s="49">
        <f>IFERROR(INDEX('Content calendar'!$L$7:$L$506,MATCH(169,'Content calendar'!$P$7:$P$506,0))&amp;"","")</f>
        <v/>
      </c>
      <c r="E170" s="49">
        <f>IFERROR(INDEX('Content calendar'!$O$7:$O$506,MATCH(169,'Content calendar'!$P$7:$P$506,0))&amp;"","")</f>
        <v/>
      </c>
    </row>
    <row r="171">
      <c r="A171" s="49">
        <f>IFERROR(INDEX('Content calendar'!$H$7:$H$506,MATCH(170,'Content calendar'!$P$7:$P$506,0))&amp;"","")</f>
        <v/>
      </c>
      <c r="B171" s="49">
        <f>IFERROR(YEAR(INDEX('Content calendar'!$A$7:$A$506,MATCH(170,'Content calendar'!$P$7:$P$506,0)))&amp;"-"&amp;TEXT(MONTH(INDEX('Content calendar'!$A$7:$A$506,MATCH(170,'Content calendar'!$P$7:$P$506,0))),"00")&amp;"-"&amp;TEXT(DAY(INDEX('Content calendar'!$A$7:$A$506,MATCH(170,'Content calendar'!$P$7:$P$506,0))),"00")&amp;" "&amp;TEXT(HOUR(INDEX('Content calendar'!$B$7:$B$506,MATCH(170,'Content calendar'!$P$7:$P$506,0))),"00")&amp;":"&amp;TEXT(MINUTE(INDEX('Content calendar'!$B$7:$B$506,MATCH(170,'Content calendar'!$P$7:$P$506,0))),"00"),"")</f>
        <v/>
      </c>
      <c r="C171" s="49">
        <f>IFERROR(INDEX('Content calendar'!$K$7:$K$506,MATCH(170,'Content calendar'!$P$7:$P$506,0))&amp;"","")</f>
        <v/>
      </c>
      <c r="D171" s="49">
        <f>IFERROR(INDEX('Content calendar'!$L$7:$L$506,MATCH(170,'Content calendar'!$P$7:$P$506,0))&amp;"","")</f>
        <v/>
      </c>
      <c r="E171" s="49">
        <f>IFERROR(INDEX('Content calendar'!$O$7:$O$506,MATCH(170,'Content calendar'!$P$7:$P$506,0))&amp;"","")</f>
        <v/>
      </c>
    </row>
    <row r="172">
      <c r="A172" s="49">
        <f>IFERROR(INDEX('Content calendar'!$H$7:$H$506,MATCH(171,'Content calendar'!$P$7:$P$506,0))&amp;"","")</f>
        <v/>
      </c>
      <c r="B172" s="49">
        <f>IFERROR(YEAR(INDEX('Content calendar'!$A$7:$A$506,MATCH(171,'Content calendar'!$P$7:$P$506,0)))&amp;"-"&amp;TEXT(MONTH(INDEX('Content calendar'!$A$7:$A$506,MATCH(171,'Content calendar'!$P$7:$P$506,0))),"00")&amp;"-"&amp;TEXT(DAY(INDEX('Content calendar'!$A$7:$A$506,MATCH(171,'Content calendar'!$P$7:$P$506,0))),"00")&amp;" "&amp;TEXT(HOUR(INDEX('Content calendar'!$B$7:$B$506,MATCH(171,'Content calendar'!$P$7:$P$506,0))),"00")&amp;":"&amp;TEXT(MINUTE(INDEX('Content calendar'!$B$7:$B$506,MATCH(171,'Content calendar'!$P$7:$P$506,0))),"00"),"")</f>
        <v/>
      </c>
      <c r="C172" s="49">
        <f>IFERROR(INDEX('Content calendar'!$K$7:$K$506,MATCH(171,'Content calendar'!$P$7:$P$506,0))&amp;"","")</f>
        <v/>
      </c>
      <c r="D172" s="49">
        <f>IFERROR(INDEX('Content calendar'!$L$7:$L$506,MATCH(171,'Content calendar'!$P$7:$P$506,0))&amp;"","")</f>
        <v/>
      </c>
      <c r="E172" s="49">
        <f>IFERROR(INDEX('Content calendar'!$O$7:$O$506,MATCH(171,'Content calendar'!$P$7:$P$506,0))&amp;"","")</f>
        <v/>
      </c>
    </row>
    <row r="173">
      <c r="A173" s="49">
        <f>IFERROR(INDEX('Content calendar'!$H$7:$H$506,MATCH(172,'Content calendar'!$P$7:$P$506,0))&amp;"","")</f>
        <v/>
      </c>
      <c r="B173" s="49">
        <f>IFERROR(YEAR(INDEX('Content calendar'!$A$7:$A$506,MATCH(172,'Content calendar'!$P$7:$P$506,0)))&amp;"-"&amp;TEXT(MONTH(INDEX('Content calendar'!$A$7:$A$506,MATCH(172,'Content calendar'!$P$7:$P$506,0))),"00")&amp;"-"&amp;TEXT(DAY(INDEX('Content calendar'!$A$7:$A$506,MATCH(172,'Content calendar'!$P$7:$P$506,0))),"00")&amp;" "&amp;TEXT(HOUR(INDEX('Content calendar'!$B$7:$B$506,MATCH(172,'Content calendar'!$P$7:$P$506,0))),"00")&amp;":"&amp;TEXT(MINUTE(INDEX('Content calendar'!$B$7:$B$506,MATCH(172,'Content calendar'!$P$7:$P$506,0))),"00"),"")</f>
        <v/>
      </c>
      <c r="C173" s="49">
        <f>IFERROR(INDEX('Content calendar'!$K$7:$K$506,MATCH(172,'Content calendar'!$P$7:$P$506,0))&amp;"","")</f>
        <v/>
      </c>
      <c r="D173" s="49">
        <f>IFERROR(INDEX('Content calendar'!$L$7:$L$506,MATCH(172,'Content calendar'!$P$7:$P$506,0))&amp;"","")</f>
        <v/>
      </c>
      <c r="E173" s="49">
        <f>IFERROR(INDEX('Content calendar'!$O$7:$O$506,MATCH(172,'Content calendar'!$P$7:$P$506,0))&amp;"","")</f>
        <v/>
      </c>
    </row>
    <row r="174">
      <c r="A174" s="49">
        <f>IFERROR(INDEX('Content calendar'!$H$7:$H$506,MATCH(173,'Content calendar'!$P$7:$P$506,0))&amp;"","")</f>
        <v/>
      </c>
      <c r="B174" s="49">
        <f>IFERROR(YEAR(INDEX('Content calendar'!$A$7:$A$506,MATCH(173,'Content calendar'!$P$7:$P$506,0)))&amp;"-"&amp;TEXT(MONTH(INDEX('Content calendar'!$A$7:$A$506,MATCH(173,'Content calendar'!$P$7:$P$506,0))),"00")&amp;"-"&amp;TEXT(DAY(INDEX('Content calendar'!$A$7:$A$506,MATCH(173,'Content calendar'!$P$7:$P$506,0))),"00")&amp;" "&amp;TEXT(HOUR(INDEX('Content calendar'!$B$7:$B$506,MATCH(173,'Content calendar'!$P$7:$P$506,0))),"00")&amp;":"&amp;TEXT(MINUTE(INDEX('Content calendar'!$B$7:$B$506,MATCH(173,'Content calendar'!$P$7:$P$506,0))),"00"),"")</f>
        <v/>
      </c>
      <c r="C174" s="49">
        <f>IFERROR(INDEX('Content calendar'!$K$7:$K$506,MATCH(173,'Content calendar'!$P$7:$P$506,0))&amp;"","")</f>
        <v/>
      </c>
      <c r="D174" s="49">
        <f>IFERROR(INDEX('Content calendar'!$L$7:$L$506,MATCH(173,'Content calendar'!$P$7:$P$506,0))&amp;"","")</f>
        <v/>
      </c>
      <c r="E174" s="49">
        <f>IFERROR(INDEX('Content calendar'!$O$7:$O$506,MATCH(173,'Content calendar'!$P$7:$P$506,0))&amp;"","")</f>
        <v/>
      </c>
    </row>
    <row r="175">
      <c r="A175" s="49">
        <f>IFERROR(INDEX('Content calendar'!$H$7:$H$506,MATCH(174,'Content calendar'!$P$7:$P$506,0))&amp;"","")</f>
        <v/>
      </c>
      <c r="B175" s="49">
        <f>IFERROR(YEAR(INDEX('Content calendar'!$A$7:$A$506,MATCH(174,'Content calendar'!$P$7:$P$506,0)))&amp;"-"&amp;TEXT(MONTH(INDEX('Content calendar'!$A$7:$A$506,MATCH(174,'Content calendar'!$P$7:$P$506,0))),"00")&amp;"-"&amp;TEXT(DAY(INDEX('Content calendar'!$A$7:$A$506,MATCH(174,'Content calendar'!$P$7:$P$506,0))),"00")&amp;" "&amp;TEXT(HOUR(INDEX('Content calendar'!$B$7:$B$506,MATCH(174,'Content calendar'!$P$7:$P$506,0))),"00")&amp;":"&amp;TEXT(MINUTE(INDEX('Content calendar'!$B$7:$B$506,MATCH(174,'Content calendar'!$P$7:$P$506,0))),"00"),"")</f>
        <v/>
      </c>
      <c r="C175" s="49">
        <f>IFERROR(INDEX('Content calendar'!$K$7:$K$506,MATCH(174,'Content calendar'!$P$7:$P$506,0))&amp;"","")</f>
        <v/>
      </c>
      <c r="D175" s="49">
        <f>IFERROR(INDEX('Content calendar'!$L$7:$L$506,MATCH(174,'Content calendar'!$P$7:$P$506,0))&amp;"","")</f>
        <v/>
      </c>
      <c r="E175" s="49">
        <f>IFERROR(INDEX('Content calendar'!$O$7:$O$506,MATCH(174,'Content calendar'!$P$7:$P$506,0))&amp;"","")</f>
        <v/>
      </c>
    </row>
    <row r="176">
      <c r="A176" s="49">
        <f>IFERROR(INDEX('Content calendar'!$H$7:$H$506,MATCH(175,'Content calendar'!$P$7:$P$506,0))&amp;"","")</f>
        <v/>
      </c>
      <c r="B176" s="49">
        <f>IFERROR(YEAR(INDEX('Content calendar'!$A$7:$A$506,MATCH(175,'Content calendar'!$P$7:$P$506,0)))&amp;"-"&amp;TEXT(MONTH(INDEX('Content calendar'!$A$7:$A$506,MATCH(175,'Content calendar'!$P$7:$P$506,0))),"00")&amp;"-"&amp;TEXT(DAY(INDEX('Content calendar'!$A$7:$A$506,MATCH(175,'Content calendar'!$P$7:$P$506,0))),"00")&amp;" "&amp;TEXT(HOUR(INDEX('Content calendar'!$B$7:$B$506,MATCH(175,'Content calendar'!$P$7:$P$506,0))),"00")&amp;":"&amp;TEXT(MINUTE(INDEX('Content calendar'!$B$7:$B$506,MATCH(175,'Content calendar'!$P$7:$P$506,0))),"00"),"")</f>
        <v/>
      </c>
      <c r="C176" s="49">
        <f>IFERROR(INDEX('Content calendar'!$K$7:$K$506,MATCH(175,'Content calendar'!$P$7:$P$506,0))&amp;"","")</f>
        <v/>
      </c>
      <c r="D176" s="49">
        <f>IFERROR(INDEX('Content calendar'!$L$7:$L$506,MATCH(175,'Content calendar'!$P$7:$P$506,0))&amp;"","")</f>
        <v/>
      </c>
      <c r="E176" s="49">
        <f>IFERROR(INDEX('Content calendar'!$O$7:$O$506,MATCH(175,'Content calendar'!$P$7:$P$506,0))&amp;"","")</f>
        <v/>
      </c>
    </row>
    <row r="177">
      <c r="A177" s="49">
        <f>IFERROR(INDEX('Content calendar'!$H$7:$H$506,MATCH(176,'Content calendar'!$P$7:$P$506,0))&amp;"","")</f>
        <v/>
      </c>
      <c r="B177" s="49">
        <f>IFERROR(YEAR(INDEX('Content calendar'!$A$7:$A$506,MATCH(176,'Content calendar'!$P$7:$P$506,0)))&amp;"-"&amp;TEXT(MONTH(INDEX('Content calendar'!$A$7:$A$506,MATCH(176,'Content calendar'!$P$7:$P$506,0))),"00")&amp;"-"&amp;TEXT(DAY(INDEX('Content calendar'!$A$7:$A$506,MATCH(176,'Content calendar'!$P$7:$P$506,0))),"00")&amp;" "&amp;TEXT(HOUR(INDEX('Content calendar'!$B$7:$B$506,MATCH(176,'Content calendar'!$P$7:$P$506,0))),"00")&amp;":"&amp;TEXT(MINUTE(INDEX('Content calendar'!$B$7:$B$506,MATCH(176,'Content calendar'!$P$7:$P$506,0))),"00"),"")</f>
        <v/>
      </c>
      <c r="C177" s="49">
        <f>IFERROR(INDEX('Content calendar'!$K$7:$K$506,MATCH(176,'Content calendar'!$P$7:$P$506,0))&amp;"","")</f>
        <v/>
      </c>
      <c r="D177" s="49">
        <f>IFERROR(INDEX('Content calendar'!$L$7:$L$506,MATCH(176,'Content calendar'!$P$7:$P$506,0))&amp;"","")</f>
        <v/>
      </c>
      <c r="E177" s="49">
        <f>IFERROR(INDEX('Content calendar'!$O$7:$O$506,MATCH(176,'Content calendar'!$P$7:$P$506,0))&amp;"","")</f>
        <v/>
      </c>
    </row>
    <row r="178">
      <c r="A178" s="49">
        <f>IFERROR(INDEX('Content calendar'!$H$7:$H$506,MATCH(177,'Content calendar'!$P$7:$P$506,0))&amp;"","")</f>
        <v/>
      </c>
      <c r="B178" s="49">
        <f>IFERROR(YEAR(INDEX('Content calendar'!$A$7:$A$506,MATCH(177,'Content calendar'!$P$7:$P$506,0)))&amp;"-"&amp;TEXT(MONTH(INDEX('Content calendar'!$A$7:$A$506,MATCH(177,'Content calendar'!$P$7:$P$506,0))),"00")&amp;"-"&amp;TEXT(DAY(INDEX('Content calendar'!$A$7:$A$506,MATCH(177,'Content calendar'!$P$7:$P$506,0))),"00")&amp;" "&amp;TEXT(HOUR(INDEX('Content calendar'!$B$7:$B$506,MATCH(177,'Content calendar'!$P$7:$P$506,0))),"00")&amp;":"&amp;TEXT(MINUTE(INDEX('Content calendar'!$B$7:$B$506,MATCH(177,'Content calendar'!$P$7:$P$506,0))),"00"),"")</f>
        <v/>
      </c>
      <c r="C178" s="49">
        <f>IFERROR(INDEX('Content calendar'!$K$7:$K$506,MATCH(177,'Content calendar'!$P$7:$P$506,0))&amp;"","")</f>
        <v/>
      </c>
      <c r="D178" s="49">
        <f>IFERROR(INDEX('Content calendar'!$L$7:$L$506,MATCH(177,'Content calendar'!$P$7:$P$506,0))&amp;"","")</f>
        <v/>
      </c>
      <c r="E178" s="49">
        <f>IFERROR(INDEX('Content calendar'!$O$7:$O$506,MATCH(177,'Content calendar'!$P$7:$P$506,0))&amp;"","")</f>
        <v/>
      </c>
    </row>
    <row r="179">
      <c r="A179" s="49">
        <f>IFERROR(INDEX('Content calendar'!$H$7:$H$506,MATCH(178,'Content calendar'!$P$7:$P$506,0))&amp;"","")</f>
        <v/>
      </c>
      <c r="B179" s="49">
        <f>IFERROR(YEAR(INDEX('Content calendar'!$A$7:$A$506,MATCH(178,'Content calendar'!$P$7:$P$506,0)))&amp;"-"&amp;TEXT(MONTH(INDEX('Content calendar'!$A$7:$A$506,MATCH(178,'Content calendar'!$P$7:$P$506,0))),"00")&amp;"-"&amp;TEXT(DAY(INDEX('Content calendar'!$A$7:$A$506,MATCH(178,'Content calendar'!$P$7:$P$506,0))),"00")&amp;" "&amp;TEXT(HOUR(INDEX('Content calendar'!$B$7:$B$506,MATCH(178,'Content calendar'!$P$7:$P$506,0))),"00")&amp;":"&amp;TEXT(MINUTE(INDEX('Content calendar'!$B$7:$B$506,MATCH(178,'Content calendar'!$P$7:$P$506,0))),"00"),"")</f>
        <v/>
      </c>
      <c r="C179" s="49">
        <f>IFERROR(INDEX('Content calendar'!$K$7:$K$506,MATCH(178,'Content calendar'!$P$7:$P$506,0))&amp;"","")</f>
        <v/>
      </c>
      <c r="D179" s="49">
        <f>IFERROR(INDEX('Content calendar'!$L$7:$L$506,MATCH(178,'Content calendar'!$P$7:$P$506,0))&amp;"","")</f>
        <v/>
      </c>
      <c r="E179" s="49">
        <f>IFERROR(INDEX('Content calendar'!$O$7:$O$506,MATCH(178,'Content calendar'!$P$7:$P$506,0))&amp;"","")</f>
        <v/>
      </c>
    </row>
    <row r="180">
      <c r="A180" s="49">
        <f>IFERROR(INDEX('Content calendar'!$H$7:$H$506,MATCH(179,'Content calendar'!$P$7:$P$506,0))&amp;"","")</f>
        <v/>
      </c>
      <c r="B180" s="49">
        <f>IFERROR(YEAR(INDEX('Content calendar'!$A$7:$A$506,MATCH(179,'Content calendar'!$P$7:$P$506,0)))&amp;"-"&amp;TEXT(MONTH(INDEX('Content calendar'!$A$7:$A$506,MATCH(179,'Content calendar'!$P$7:$P$506,0))),"00")&amp;"-"&amp;TEXT(DAY(INDEX('Content calendar'!$A$7:$A$506,MATCH(179,'Content calendar'!$P$7:$P$506,0))),"00")&amp;" "&amp;TEXT(HOUR(INDEX('Content calendar'!$B$7:$B$506,MATCH(179,'Content calendar'!$P$7:$P$506,0))),"00")&amp;":"&amp;TEXT(MINUTE(INDEX('Content calendar'!$B$7:$B$506,MATCH(179,'Content calendar'!$P$7:$P$506,0))),"00"),"")</f>
        <v/>
      </c>
      <c r="C180" s="49">
        <f>IFERROR(INDEX('Content calendar'!$K$7:$K$506,MATCH(179,'Content calendar'!$P$7:$P$506,0))&amp;"","")</f>
        <v/>
      </c>
      <c r="D180" s="49">
        <f>IFERROR(INDEX('Content calendar'!$L$7:$L$506,MATCH(179,'Content calendar'!$P$7:$P$506,0))&amp;"","")</f>
        <v/>
      </c>
      <c r="E180" s="49">
        <f>IFERROR(INDEX('Content calendar'!$O$7:$O$506,MATCH(179,'Content calendar'!$P$7:$P$506,0))&amp;"","")</f>
        <v/>
      </c>
    </row>
    <row r="181">
      <c r="A181" s="49">
        <f>IFERROR(INDEX('Content calendar'!$H$7:$H$506,MATCH(180,'Content calendar'!$P$7:$P$506,0))&amp;"","")</f>
        <v/>
      </c>
      <c r="B181" s="49">
        <f>IFERROR(YEAR(INDEX('Content calendar'!$A$7:$A$506,MATCH(180,'Content calendar'!$P$7:$P$506,0)))&amp;"-"&amp;TEXT(MONTH(INDEX('Content calendar'!$A$7:$A$506,MATCH(180,'Content calendar'!$P$7:$P$506,0))),"00")&amp;"-"&amp;TEXT(DAY(INDEX('Content calendar'!$A$7:$A$506,MATCH(180,'Content calendar'!$P$7:$P$506,0))),"00")&amp;" "&amp;TEXT(HOUR(INDEX('Content calendar'!$B$7:$B$506,MATCH(180,'Content calendar'!$P$7:$P$506,0))),"00")&amp;":"&amp;TEXT(MINUTE(INDEX('Content calendar'!$B$7:$B$506,MATCH(180,'Content calendar'!$P$7:$P$506,0))),"00"),"")</f>
        <v/>
      </c>
      <c r="C181" s="49">
        <f>IFERROR(INDEX('Content calendar'!$K$7:$K$506,MATCH(180,'Content calendar'!$P$7:$P$506,0))&amp;"","")</f>
        <v/>
      </c>
      <c r="D181" s="49">
        <f>IFERROR(INDEX('Content calendar'!$L$7:$L$506,MATCH(180,'Content calendar'!$P$7:$P$506,0))&amp;"","")</f>
        <v/>
      </c>
      <c r="E181" s="49">
        <f>IFERROR(INDEX('Content calendar'!$O$7:$O$506,MATCH(180,'Content calendar'!$P$7:$P$506,0))&amp;"","")</f>
        <v/>
      </c>
    </row>
    <row r="182">
      <c r="A182" s="49">
        <f>IFERROR(INDEX('Content calendar'!$H$7:$H$506,MATCH(181,'Content calendar'!$P$7:$P$506,0))&amp;"","")</f>
        <v/>
      </c>
      <c r="B182" s="49">
        <f>IFERROR(YEAR(INDEX('Content calendar'!$A$7:$A$506,MATCH(181,'Content calendar'!$P$7:$P$506,0)))&amp;"-"&amp;TEXT(MONTH(INDEX('Content calendar'!$A$7:$A$506,MATCH(181,'Content calendar'!$P$7:$P$506,0))),"00")&amp;"-"&amp;TEXT(DAY(INDEX('Content calendar'!$A$7:$A$506,MATCH(181,'Content calendar'!$P$7:$P$506,0))),"00")&amp;" "&amp;TEXT(HOUR(INDEX('Content calendar'!$B$7:$B$506,MATCH(181,'Content calendar'!$P$7:$P$506,0))),"00")&amp;":"&amp;TEXT(MINUTE(INDEX('Content calendar'!$B$7:$B$506,MATCH(181,'Content calendar'!$P$7:$P$506,0))),"00"),"")</f>
        <v/>
      </c>
      <c r="C182" s="49">
        <f>IFERROR(INDEX('Content calendar'!$K$7:$K$506,MATCH(181,'Content calendar'!$P$7:$P$506,0))&amp;"","")</f>
        <v/>
      </c>
      <c r="D182" s="49">
        <f>IFERROR(INDEX('Content calendar'!$L$7:$L$506,MATCH(181,'Content calendar'!$P$7:$P$506,0))&amp;"","")</f>
        <v/>
      </c>
      <c r="E182" s="49">
        <f>IFERROR(INDEX('Content calendar'!$O$7:$O$506,MATCH(181,'Content calendar'!$P$7:$P$506,0))&amp;"","")</f>
        <v/>
      </c>
    </row>
    <row r="183">
      <c r="A183" s="49">
        <f>IFERROR(INDEX('Content calendar'!$H$7:$H$506,MATCH(182,'Content calendar'!$P$7:$P$506,0))&amp;"","")</f>
        <v/>
      </c>
      <c r="B183" s="49">
        <f>IFERROR(YEAR(INDEX('Content calendar'!$A$7:$A$506,MATCH(182,'Content calendar'!$P$7:$P$506,0)))&amp;"-"&amp;TEXT(MONTH(INDEX('Content calendar'!$A$7:$A$506,MATCH(182,'Content calendar'!$P$7:$P$506,0))),"00")&amp;"-"&amp;TEXT(DAY(INDEX('Content calendar'!$A$7:$A$506,MATCH(182,'Content calendar'!$P$7:$P$506,0))),"00")&amp;" "&amp;TEXT(HOUR(INDEX('Content calendar'!$B$7:$B$506,MATCH(182,'Content calendar'!$P$7:$P$506,0))),"00")&amp;":"&amp;TEXT(MINUTE(INDEX('Content calendar'!$B$7:$B$506,MATCH(182,'Content calendar'!$P$7:$P$506,0))),"00"),"")</f>
        <v/>
      </c>
      <c r="C183" s="49">
        <f>IFERROR(INDEX('Content calendar'!$K$7:$K$506,MATCH(182,'Content calendar'!$P$7:$P$506,0))&amp;"","")</f>
        <v/>
      </c>
      <c r="D183" s="49">
        <f>IFERROR(INDEX('Content calendar'!$L$7:$L$506,MATCH(182,'Content calendar'!$P$7:$P$506,0))&amp;"","")</f>
        <v/>
      </c>
      <c r="E183" s="49">
        <f>IFERROR(INDEX('Content calendar'!$O$7:$O$506,MATCH(182,'Content calendar'!$P$7:$P$506,0))&amp;"","")</f>
        <v/>
      </c>
    </row>
    <row r="184">
      <c r="A184" s="49">
        <f>IFERROR(INDEX('Content calendar'!$H$7:$H$506,MATCH(183,'Content calendar'!$P$7:$P$506,0))&amp;"","")</f>
        <v/>
      </c>
      <c r="B184" s="49">
        <f>IFERROR(YEAR(INDEX('Content calendar'!$A$7:$A$506,MATCH(183,'Content calendar'!$P$7:$P$506,0)))&amp;"-"&amp;TEXT(MONTH(INDEX('Content calendar'!$A$7:$A$506,MATCH(183,'Content calendar'!$P$7:$P$506,0))),"00")&amp;"-"&amp;TEXT(DAY(INDEX('Content calendar'!$A$7:$A$506,MATCH(183,'Content calendar'!$P$7:$P$506,0))),"00")&amp;" "&amp;TEXT(HOUR(INDEX('Content calendar'!$B$7:$B$506,MATCH(183,'Content calendar'!$P$7:$P$506,0))),"00")&amp;":"&amp;TEXT(MINUTE(INDEX('Content calendar'!$B$7:$B$506,MATCH(183,'Content calendar'!$P$7:$P$506,0))),"00"),"")</f>
        <v/>
      </c>
      <c r="C184" s="49">
        <f>IFERROR(INDEX('Content calendar'!$K$7:$K$506,MATCH(183,'Content calendar'!$P$7:$P$506,0))&amp;"","")</f>
        <v/>
      </c>
      <c r="D184" s="49">
        <f>IFERROR(INDEX('Content calendar'!$L$7:$L$506,MATCH(183,'Content calendar'!$P$7:$P$506,0))&amp;"","")</f>
        <v/>
      </c>
      <c r="E184" s="49">
        <f>IFERROR(INDEX('Content calendar'!$O$7:$O$506,MATCH(183,'Content calendar'!$P$7:$P$506,0))&amp;"","")</f>
        <v/>
      </c>
    </row>
    <row r="185">
      <c r="A185" s="49">
        <f>IFERROR(INDEX('Content calendar'!$H$7:$H$506,MATCH(184,'Content calendar'!$P$7:$P$506,0))&amp;"","")</f>
        <v/>
      </c>
      <c r="B185" s="49">
        <f>IFERROR(YEAR(INDEX('Content calendar'!$A$7:$A$506,MATCH(184,'Content calendar'!$P$7:$P$506,0)))&amp;"-"&amp;TEXT(MONTH(INDEX('Content calendar'!$A$7:$A$506,MATCH(184,'Content calendar'!$P$7:$P$506,0))),"00")&amp;"-"&amp;TEXT(DAY(INDEX('Content calendar'!$A$7:$A$506,MATCH(184,'Content calendar'!$P$7:$P$506,0))),"00")&amp;" "&amp;TEXT(HOUR(INDEX('Content calendar'!$B$7:$B$506,MATCH(184,'Content calendar'!$P$7:$P$506,0))),"00")&amp;":"&amp;TEXT(MINUTE(INDEX('Content calendar'!$B$7:$B$506,MATCH(184,'Content calendar'!$P$7:$P$506,0))),"00"),"")</f>
        <v/>
      </c>
      <c r="C185" s="49">
        <f>IFERROR(INDEX('Content calendar'!$K$7:$K$506,MATCH(184,'Content calendar'!$P$7:$P$506,0))&amp;"","")</f>
        <v/>
      </c>
      <c r="D185" s="49">
        <f>IFERROR(INDEX('Content calendar'!$L$7:$L$506,MATCH(184,'Content calendar'!$P$7:$P$506,0))&amp;"","")</f>
        <v/>
      </c>
      <c r="E185" s="49">
        <f>IFERROR(INDEX('Content calendar'!$O$7:$O$506,MATCH(184,'Content calendar'!$P$7:$P$506,0))&amp;"","")</f>
        <v/>
      </c>
    </row>
    <row r="186">
      <c r="A186" s="49">
        <f>IFERROR(INDEX('Content calendar'!$H$7:$H$506,MATCH(185,'Content calendar'!$P$7:$P$506,0))&amp;"","")</f>
        <v/>
      </c>
      <c r="B186" s="49">
        <f>IFERROR(YEAR(INDEX('Content calendar'!$A$7:$A$506,MATCH(185,'Content calendar'!$P$7:$P$506,0)))&amp;"-"&amp;TEXT(MONTH(INDEX('Content calendar'!$A$7:$A$506,MATCH(185,'Content calendar'!$P$7:$P$506,0))),"00")&amp;"-"&amp;TEXT(DAY(INDEX('Content calendar'!$A$7:$A$506,MATCH(185,'Content calendar'!$P$7:$P$506,0))),"00")&amp;" "&amp;TEXT(HOUR(INDEX('Content calendar'!$B$7:$B$506,MATCH(185,'Content calendar'!$P$7:$P$506,0))),"00")&amp;":"&amp;TEXT(MINUTE(INDEX('Content calendar'!$B$7:$B$506,MATCH(185,'Content calendar'!$P$7:$P$506,0))),"00"),"")</f>
        <v/>
      </c>
      <c r="C186" s="49">
        <f>IFERROR(INDEX('Content calendar'!$K$7:$K$506,MATCH(185,'Content calendar'!$P$7:$P$506,0))&amp;"","")</f>
        <v/>
      </c>
      <c r="D186" s="49">
        <f>IFERROR(INDEX('Content calendar'!$L$7:$L$506,MATCH(185,'Content calendar'!$P$7:$P$506,0))&amp;"","")</f>
        <v/>
      </c>
      <c r="E186" s="49">
        <f>IFERROR(INDEX('Content calendar'!$O$7:$O$506,MATCH(185,'Content calendar'!$P$7:$P$506,0))&amp;"","")</f>
        <v/>
      </c>
    </row>
    <row r="187">
      <c r="A187" s="49">
        <f>IFERROR(INDEX('Content calendar'!$H$7:$H$506,MATCH(186,'Content calendar'!$P$7:$P$506,0))&amp;"","")</f>
        <v/>
      </c>
      <c r="B187" s="49">
        <f>IFERROR(YEAR(INDEX('Content calendar'!$A$7:$A$506,MATCH(186,'Content calendar'!$P$7:$P$506,0)))&amp;"-"&amp;TEXT(MONTH(INDEX('Content calendar'!$A$7:$A$506,MATCH(186,'Content calendar'!$P$7:$P$506,0))),"00")&amp;"-"&amp;TEXT(DAY(INDEX('Content calendar'!$A$7:$A$506,MATCH(186,'Content calendar'!$P$7:$P$506,0))),"00")&amp;" "&amp;TEXT(HOUR(INDEX('Content calendar'!$B$7:$B$506,MATCH(186,'Content calendar'!$P$7:$P$506,0))),"00")&amp;":"&amp;TEXT(MINUTE(INDEX('Content calendar'!$B$7:$B$506,MATCH(186,'Content calendar'!$P$7:$P$506,0))),"00"),"")</f>
        <v/>
      </c>
      <c r="C187" s="49">
        <f>IFERROR(INDEX('Content calendar'!$K$7:$K$506,MATCH(186,'Content calendar'!$P$7:$P$506,0))&amp;"","")</f>
        <v/>
      </c>
      <c r="D187" s="49">
        <f>IFERROR(INDEX('Content calendar'!$L$7:$L$506,MATCH(186,'Content calendar'!$P$7:$P$506,0))&amp;"","")</f>
        <v/>
      </c>
      <c r="E187" s="49">
        <f>IFERROR(INDEX('Content calendar'!$O$7:$O$506,MATCH(186,'Content calendar'!$P$7:$P$506,0))&amp;"","")</f>
        <v/>
      </c>
    </row>
    <row r="188">
      <c r="A188" s="49">
        <f>IFERROR(INDEX('Content calendar'!$H$7:$H$506,MATCH(187,'Content calendar'!$P$7:$P$506,0))&amp;"","")</f>
        <v/>
      </c>
      <c r="B188" s="49">
        <f>IFERROR(YEAR(INDEX('Content calendar'!$A$7:$A$506,MATCH(187,'Content calendar'!$P$7:$P$506,0)))&amp;"-"&amp;TEXT(MONTH(INDEX('Content calendar'!$A$7:$A$506,MATCH(187,'Content calendar'!$P$7:$P$506,0))),"00")&amp;"-"&amp;TEXT(DAY(INDEX('Content calendar'!$A$7:$A$506,MATCH(187,'Content calendar'!$P$7:$P$506,0))),"00")&amp;" "&amp;TEXT(HOUR(INDEX('Content calendar'!$B$7:$B$506,MATCH(187,'Content calendar'!$P$7:$P$506,0))),"00")&amp;":"&amp;TEXT(MINUTE(INDEX('Content calendar'!$B$7:$B$506,MATCH(187,'Content calendar'!$P$7:$P$506,0))),"00"),"")</f>
        <v/>
      </c>
      <c r="C188" s="49">
        <f>IFERROR(INDEX('Content calendar'!$K$7:$K$506,MATCH(187,'Content calendar'!$P$7:$P$506,0))&amp;"","")</f>
        <v/>
      </c>
      <c r="D188" s="49">
        <f>IFERROR(INDEX('Content calendar'!$L$7:$L$506,MATCH(187,'Content calendar'!$P$7:$P$506,0))&amp;"","")</f>
        <v/>
      </c>
      <c r="E188" s="49">
        <f>IFERROR(INDEX('Content calendar'!$O$7:$O$506,MATCH(187,'Content calendar'!$P$7:$P$506,0))&amp;"","")</f>
        <v/>
      </c>
    </row>
    <row r="189">
      <c r="A189" s="49">
        <f>IFERROR(INDEX('Content calendar'!$H$7:$H$506,MATCH(188,'Content calendar'!$P$7:$P$506,0))&amp;"","")</f>
        <v/>
      </c>
      <c r="B189" s="49">
        <f>IFERROR(YEAR(INDEX('Content calendar'!$A$7:$A$506,MATCH(188,'Content calendar'!$P$7:$P$506,0)))&amp;"-"&amp;TEXT(MONTH(INDEX('Content calendar'!$A$7:$A$506,MATCH(188,'Content calendar'!$P$7:$P$506,0))),"00")&amp;"-"&amp;TEXT(DAY(INDEX('Content calendar'!$A$7:$A$506,MATCH(188,'Content calendar'!$P$7:$P$506,0))),"00")&amp;" "&amp;TEXT(HOUR(INDEX('Content calendar'!$B$7:$B$506,MATCH(188,'Content calendar'!$P$7:$P$506,0))),"00")&amp;":"&amp;TEXT(MINUTE(INDEX('Content calendar'!$B$7:$B$506,MATCH(188,'Content calendar'!$P$7:$P$506,0))),"00"),"")</f>
        <v/>
      </c>
      <c r="C189" s="49">
        <f>IFERROR(INDEX('Content calendar'!$K$7:$K$506,MATCH(188,'Content calendar'!$P$7:$P$506,0))&amp;"","")</f>
        <v/>
      </c>
      <c r="D189" s="49">
        <f>IFERROR(INDEX('Content calendar'!$L$7:$L$506,MATCH(188,'Content calendar'!$P$7:$P$506,0))&amp;"","")</f>
        <v/>
      </c>
      <c r="E189" s="49">
        <f>IFERROR(INDEX('Content calendar'!$O$7:$O$506,MATCH(188,'Content calendar'!$P$7:$P$506,0))&amp;"","")</f>
        <v/>
      </c>
    </row>
    <row r="190">
      <c r="A190" s="49">
        <f>IFERROR(INDEX('Content calendar'!$H$7:$H$506,MATCH(189,'Content calendar'!$P$7:$P$506,0))&amp;"","")</f>
        <v/>
      </c>
      <c r="B190" s="49">
        <f>IFERROR(YEAR(INDEX('Content calendar'!$A$7:$A$506,MATCH(189,'Content calendar'!$P$7:$P$506,0)))&amp;"-"&amp;TEXT(MONTH(INDEX('Content calendar'!$A$7:$A$506,MATCH(189,'Content calendar'!$P$7:$P$506,0))),"00")&amp;"-"&amp;TEXT(DAY(INDEX('Content calendar'!$A$7:$A$506,MATCH(189,'Content calendar'!$P$7:$P$506,0))),"00")&amp;" "&amp;TEXT(HOUR(INDEX('Content calendar'!$B$7:$B$506,MATCH(189,'Content calendar'!$P$7:$P$506,0))),"00")&amp;":"&amp;TEXT(MINUTE(INDEX('Content calendar'!$B$7:$B$506,MATCH(189,'Content calendar'!$P$7:$P$506,0))),"00"),"")</f>
        <v/>
      </c>
      <c r="C190" s="49">
        <f>IFERROR(INDEX('Content calendar'!$K$7:$K$506,MATCH(189,'Content calendar'!$P$7:$P$506,0))&amp;"","")</f>
        <v/>
      </c>
      <c r="D190" s="49">
        <f>IFERROR(INDEX('Content calendar'!$L$7:$L$506,MATCH(189,'Content calendar'!$P$7:$P$506,0))&amp;"","")</f>
        <v/>
      </c>
      <c r="E190" s="49">
        <f>IFERROR(INDEX('Content calendar'!$O$7:$O$506,MATCH(189,'Content calendar'!$P$7:$P$506,0))&amp;"","")</f>
        <v/>
      </c>
    </row>
    <row r="191">
      <c r="A191" s="49">
        <f>IFERROR(INDEX('Content calendar'!$H$7:$H$506,MATCH(190,'Content calendar'!$P$7:$P$506,0))&amp;"","")</f>
        <v/>
      </c>
      <c r="B191" s="49">
        <f>IFERROR(YEAR(INDEX('Content calendar'!$A$7:$A$506,MATCH(190,'Content calendar'!$P$7:$P$506,0)))&amp;"-"&amp;TEXT(MONTH(INDEX('Content calendar'!$A$7:$A$506,MATCH(190,'Content calendar'!$P$7:$P$506,0))),"00")&amp;"-"&amp;TEXT(DAY(INDEX('Content calendar'!$A$7:$A$506,MATCH(190,'Content calendar'!$P$7:$P$506,0))),"00")&amp;" "&amp;TEXT(HOUR(INDEX('Content calendar'!$B$7:$B$506,MATCH(190,'Content calendar'!$P$7:$P$506,0))),"00")&amp;":"&amp;TEXT(MINUTE(INDEX('Content calendar'!$B$7:$B$506,MATCH(190,'Content calendar'!$P$7:$P$506,0))),"00"),"")</f>
        <v/>
      </c>
      <c r="C191" s="49">
        <f>IFERROR(INDEX('Content calendar'!$K$7:$K$506,MATCH(190,'Content calendar'!$P$7:$P$506,0))&amp;"","")</f>
        <v/>
      </c>
      <c r="D191" s="49">
        <f>IFERROR(INDEX('Content calendar'!$L$7:$L$506,MATCH(190,'Content calendar'!$P$7:$P$506,0))&amp;"","")</f>
        <v/>
      </c>
      <c r="E191" s="49">
        <f>IFERROR(INDEX('Content calendar'!$O$7:$O$506,MATCH(190,'Content calendar'!$P$7:$P$506,0))&amp;"","")</f>
        <v/>
      </c>
    </row>
    <row r="192">
      <c r="A192" s="49">
        <f>IFERROR(INDEX('Content calendar'!$H$7:$H$506,MATCH(191,'Content calendar'!$P$7:$P$506,0))&amp;"","")</f>
        <v/>
      </c>
      <c r="B192" s="49">
        <f>IFERROR(YEAR(INDEX('Content calendar'!$A$7:$A$506,MATCH(191,'Content calendar'!$P$7:$P$506,0)))&amp;"-"&amp;TEXT(MONTH(INDEX('Content calendar'!$A$7:$A$506,MATCH(191,'Content calendar'!$P$7:$P$506,0))),"00")&amp;"-"&amp;TEXT(DAY(INDEX('Content calendar'!$A$7:$A$506,MATCH(191,'Content calendar'!$P$7:$P$506,0))),"00")&amp;" "&amp;TEXT(HOUR(INDEX('Content calendar'!$B$7:$B$506,MATCH(191,'Content calendar'!$P$7:$P$506,0))),"00")&amp;":"&amp;TEXT(MINUTE(INDEX('Content calendar'!$B$7:$B$506,MATCH(191,'Content calendar'!$P$7:$P$506,0))),"00"),"")</f>
        <v/>
      </c>
      <c r="C192" s="49">
        <f>IFERROR(INDEX('Content calendar'!$K$7:$K$506,MATCH(191,'Content calendar'!$P$7:$P$506,0))&amp;"","")</f>
        <v/>
      </c>
      <c r="D192" s="49">
        <f>IFERROR(INDEX('Content calendar'!$L$7:$L$506,MATCH(191,'Content calendar'!$P$7:$P$506,0))&amp;"","")</f>
        <v/>
      </c>
      <c r="E192" s="49">
        <f>IFERROR(INDEX('Content calendar'!$O$7:$O$506,MATCH(191,'Content calendar'!$P$7:$P$506,0))&amp;"","")</f>
        <v/>
      </c>
    </row>
    <row r="193">
      <c r="A193" s="49">
        <f>IFERROR(INDEX('Content calendar'!$H$7:$H$506,MATCH(192,'Content calendar'!$P$7:$P$506,0))&amp;"","")</f>
        <v/>
      </c>
      <c r="B193" s="49">
        <f>IFERROR(YEAR(INDEX('Content calendar'!$A$7:$A$506,MATCH(192,'Content calendar'!$P$7:$P$506,0)))&amp;"-"&amp;TEXT(MONTH(INDEX('Content calendar'!$A$7:$A$506,MATCH(192,'Content calendar'!$P$7:$P$506,0))),"00")&amp;"-"&amp;TEXT(DAY(INDEX('Content calendar'!$A$7:$A$506,MATCH(192,'Content calendar'!$P$7:$P$506,0))),"00")&amp;" "&amp;TEXT(HOUR(INDEX('Content calendar'!$B$7:$B$506,MATCH(192,'Content calendar'!$P$7:$P$506,0))),"00")&amp;":"&amp;TEXT(MINUTE(INDEX('Content calendar'!$B$7:$B$506,MATCH(192,'Content calendar'!$P$7:$P$506,0))),"00"),"")</f>
        <v/>
      </c>
      <c r="C193" s="49">
        <f>IFERROR(INDEX('Content calendar'!$K$7:$K$506,MATCH(192,'Content calendar'!$P$7:$P$506,0))&amp;"","")</f>
        <v/>
      </c>
      <c r="D193" s="49">
        <f>IFERROR(INDEX('Content calendar'!$L$7:$L$506,MATCH(192,'Content calendar'!$P$7:$P$506,0))&amp;"","")</f>
        <v/>
      </c>
      <c r="E193" s="49">
        <f>IFERROR(INDEX('Content calendar'!$O$7:$O$506,MATCH(192,'Content calendar'!$P$7:$P$506,0))&amp;"","")</f>
        <v/>
      </c>
    </row>
    <row r="194">
      <c r="A194" s="49">
        <f>IFERROR(INDEX('Content calendar'!$H$7:$H$506,MATCH(193,'Content calendar'!$P$7:$P$506,0))&amp;"","")</f>
        <v/>
      </c>
      <c r="B194" s="49">
        <f>IFERROR(YEAR(INDEX('Content calendar'!$A$7:$A$506,MATCH(193,'Content calendar'!$P$7:$P$506,0)))&amp;"-"&amp;TEXT(MONTH(INDEX('Content calendar'!$A$7:$A$506,MATCH(193,'Content calendar'!$P$7:$P$506,0))),"00")&amp;"-"&amp;TEXT(DAY(INDEX('Content calendar'!$A$7:$A$506,MATCH(193,'Content calendar'!$P$7:$P$506,0))),"00")&amp;" "&amp;TEXT(HOUR(INDEX('Content calendar'!$B$7:$B$506,MATCH(193,'Content calendar'!$P$7:$P$506,0))),"00")&amp;":"&amp;TEXT(MINUTE(INDEX('Content calendar'!$B$7:$B$506,MATCH(193,'Content calendar'!$P$7:$P$506,0))),"00"),"")</f>
        <v/>
      </c>
      <c r="C194" s="49">
        <f>IFERROR(INDEX('Content calendar'!$K$7:$K$506,MATCH(193,'Content calendar'!$P$7:$P$506,0))&amp;"","")</f>
        <v/>
      </c>
      <c r="D194" s="49">
        <f>IFERROR(INDEX('Content calendar'!$L$7:$L$506,MATCH(193,'Content calendar'!$P$7:$P$506,0))&amp;"","")</f>
        <v/>
      </c>
      <c r="E194" s="49">
        <f>IFERROR(INDEX('Content calendar'!$O$7:$O$506,MATCH(193,'Content calendar'!$P$7:$P$506,0))&amp;"","")</f>
        <v/>
      </c>
    </row>
    <row r="195">
      <c r="A195" s="49">
        <f>IFERROR(INDEX('Content calendar'!$H$7:$H$506,MATCH(194,'Content calendar'!$P$7:$P$506,0))&amp;"","")</f>
        <v/>
      </c>
      <c r="B195" s="49">
        <f>IFERROR(YEAR(INDEX('Content calendar'!$A$7:$A$506,MATCH(194,'Content calendar'!$P$7:$P$506,0)))&amp;"-"&amp;TEXT(MONTH(INDEX('Content calendar'!$A$7:$A$506,MATCH(194,'Content calendar'!$P$7:$P$506,0))),"00")&amp;"-"&amp;TEXT(DAY(INDEX('Content calendar'!$A$7:$A$506,MATCH(194,'Content calendar'!$P$7:$P$506,0))),"00")&amp;" "&amp;TEXT(HOUR(INDEX('Content calendar'!$B$7:$B$506,MATCH(194,'Content calendar'!$P$7:$P$506,0))),"00")&amp;":"&amp;TEXT(MINUTE(INDEX('Content calendar'!$B$7:$B$506,MATCH(194,'Content calendar'!$P$7:$P$506,0))),"00"),"")</f>
        <v/>
      </c>
      <c r="C195" s="49">
        <f>IFERROR(INDEX('Content calendar'!$K$7:$K$506,MATCH(194,'Content calendar'!$P$7:$P$506,0))&amp;"","")</f>
        <v/>
      </c>
      <c r="D195" s="49">
        <f>IFERROR(INDEX('Content calendar'!$L$7:$L$506,MATCH(194,'Content calendar'!$P$7:$P$506,0))&amp;"","")</f>
        <v/>
      </c>
      <c r="E195" s="49">
        <f>IFERROR(INDEX('Content calendar'!$O$7:$O$506,MATCH(194,'Content calendar'!$P$7:$P$506,0))&amp;"","")</f>
        <v/>
      </c>
    </row>
    <row r="196">
      <c r="A196" s="49">
        <f>IFERROR(INDEX('Content calendar'!$H$7:$H$506,MATCH(195,'Content calendar'!$P$7:$P$506,0))&amp;"","")</f>
        <v/>
      </c>
      <c r="B196" s="49">
        <f>IFERROR(YEAR(INDEX('Content calendar'!$A$7:$A$506,MATCH(195,'Content calendar'!$P$7:$P$506,0)))&amp;"-"&amp;TEXT(MONTH(INDEX('Content calendar'!$A$7:$A$506,MATCH(195,'Content calendar'!$P$7:$P$506,0))),"00")&amp;"-"&amp;TEXT(DAY(INDEX('Content calendar'!$A$7:$A$506,MATCH(195,'Content calendar'!$P$7:$P$506,0))),"00")&amp;" "&amp;TEXT(HOUR(INDEX('Content calendar'!$B$7:$B$506,MATCH(195,'Content calendar'!$P$7:$P$506,0))),"00")&amp;":"&amp;TEXT(MINUTE(INDEX('Content calendar'!$B$7:$B$506,MATCH(195,'Content calendar'!$P$7:$P$506,0))),"00"),"")</f>
        <v/>
      </c>
      <c r="C196" s="49">
        <f>IFERROR(INDEX('Content calendar'!$K$7:$K$506,MATCH(195,'Content calendar'!$P$7:$P$506,0))&amp;"","")</f>
        <v/>
      </c>
      <c r="D196" s="49">
        <f>IFERROR(INDEX('Content calendar'!$L$7:$L$506,MATCH(195,'Content calendar'!$P$7:$P$506,0))&amp;"","")</f>
        <v/>
      </c>
      <c r="E196" s="49">
        <f>IFERROR(INDEX('Content calendar'!$O$7:$O$506,MATCH(195,'Content calendar'!$P$7:$P$506,0))&amp;"","")</f>
        <v/>
      </c>
    </row>
    <row r="197">
      <c r="A197" s="49">
        <f>IFERROR(INDEX('Content calendar'!$H$7:$H$506,MATCH(196,'Content calendar'!$P$7:$P$506,0))&amp;"","")</f>
        <v/>
      </c>
      <c r="B197" s="49">
        <f>IFERROR(YEAR(INDEX('Content calendar'!$A$7:$A$506,MATCH(196,'Content calendar'!$P$7:$P$506,0)))&amp;"-"&amp;TEXT(MONTH(INDEX('Content calendar'!$A$7:$A$506,MATCH(196,'Content calendar'!$P$7:$P$506,0))),"00")&amp;"-"&amp;TEXT(DAY(INDEX('Content calendar'!$A$7:$A$506,MATCH(196,'Content calendar'!$P$7:$P$506,0))),"00")&amp;" "&amp;TEXT(HOUR(INDEX('Content calendar'!$B$7:$B$506,MATCH(196,'Content calendar'!$P$7:$P$506,0))),"00")&amp;":"&amp;TEXT(MINUTE(INDEX('Content calendar'!$B$7:$B$506,MATCH(196,'Content calendar'!$P$7:$P$506,0))),"00"),"")</f>
        <v/>
      </c>
      <c r="C197" s="49">
        <f>IFERROR(INDEX('Content calendar'!$K$7:$K$506,MATCH(196,'Content calendar'!$P$7:$P$506,0))&amp;"","")</f>
        <v/>
      </c>
      <c r="D197" s="49">
        <f>IFERROR(INDEX('Content calendar'!$L$7:$L$506,MATCH(196,'Content calendar'!$P$7:$P$506,0))&amp;"","")</f>
        <v/>
      </c>
      <c r="E197" s="49">
        <f>IFERROR(INDEX('Content calendar'!$O$7:$O$506,MATCH(196,'Content calendar'!$P$7:$P$506,0))&amp;"","")</f>
        <v/>
      </c>
    </row>
    <row r="198">
      <c r="A198" s="49">
        <f>IFERROR(INDEX('Content calendar'!$H$7:$H$506,MATCH(197,'Content calendar'!$P$7:$P$506,0))&amp;"","")</f>
        <v/>
      </c>
      <c r="B198" s="49">
        <f>IFERROR(YEAR(INDEX('Content calendar'!$A$7:$A$506,MATCH(197,'Content calendar'!$P$7:$P$506,0)))&amp;"-"&amp;TEXT(MONTH(INDEX('Content calendar'!$A$7:$A$506,MATCH(197,'Content calendar'!$P$7:$P$506,0))),"00")&amp;"-"&amp;TEXT(DAY(INDEX('Content calendar'!$A$7:$A$506,MATCH(197,'Content calendar'!$P$7:$P$506,0))),"00")&amp;" "&amp;TEXT(HOUR(INDEX('Content calendar'!$B$7:$B$506,MATCH(197,'Content calendar'!$P$7:$P$506,0))),"00")&amp;":"&amp;TEXT(MINUTE(INDEX('Content calendar'!$B$7:$B$506,MATCH(197,'Content calendar'!$P$7:$P$506,0))),"00"),"")</f>
        <v/>
      </c>
      <c r="C198" s="49">
        <f>IFERROR(INDEX('Content calendar'!$K$7:$K$506,MATCH(197,'Content calendar'!$P$7:$P$506,0))&amp;"","")</f>
        <v/>
      </c>
      <c r="D198" s="49">
        <f>IFERROR(INDEX('Content calendar'!$L$7:$L$506,MATCH(197,'Content calendar'!$P$7:$P$506,0))&amp;"","")</f>
        <v/>
      </c>
      <c r="E198" s="49">
        <f>IFERROR(INDEX('Content calendar'!$O$7:$O$506,MATCH(197,'Content calendar'!$P$7:$P$506,0))&amp;"","")</f>
        <v/>
      </c>
    </row>
    <row r="199">
      <c r="A199" s="49">
        <f>IFERROR(INDEX('Content calendar'!$H$7:$H$506,MATCH(198,'Content calendar'!$P$7:$P$506,0))&amp;"","")</f>
        <v/>
      </c>
      <c r="B199" s="49">
        <f>IFERROR(YEAR(INDEX('Content calendar'!$A$7:$A$506,MATCH(198,'Content calendar'!$P$7:$P$506,0)))&amp;"-"&amp;TEXT(MONTH(INDEX('Content calendar'!$A$7:$A$506,MATCH(198,'Content calendar'!$P$7:$P$506,0))),"00")&amp;"-"&amp;TEXT(DAY(INDEX('Content calendar'!$A$7:$A$506,MATCH(198,'Content calendar'!$P$7:$P$506,0))),"00")&amp;" "&amp;TEXT(HOUR(INDEX('Content calendar'!$B$7:$B$506,MATCH(198,'Content calendar'!$P$7:$P$506,0))),"00")&amp;":"&amp;TEXT(MINUTE(INDEX('Content calendar'!$B$7:$B$506,MATCH(198,'Content calendar'!$P$7:$P$506,0))),"00"),"")</f>
        <v/>
      </c>
      <c r="C199" s="49">
        <f>IFERROR(INDEX('Content calendar'!$K$7:$K$506,MATCH(198,'Content calendar'!$P$7:$P$506,0))&amp;"","")</f>
        <v/>
      </c>
      <c r="D199" s="49">
        <f>IFERROR(INDEX('Content calendar'!$L$7:$L$506,MATCH(198,'Content calendar'!$P$7:$P$506,0))&amp;"","")</f>
        <v/>
      </c>
      <c r="E199" s="49">
        <f>IFERROR(INDEX('Content calendar'!$O$7:$O$506,MATCH(198,'Content calendar'!$P$7:$P$506,0))&amp;"","")</f>
        <v/>
      </c>
    </row>
    <row r="200">
      <c r="A200" s="49">
        <f>IFERROR(INDEX('Content calendar'!$H$7:$H$506,MATCH(199,'Content calendar'!$P$7:$P$506,0))&amp;"","")</f>
        <v/>
      </c>
      <c r="B200" s="49">
        <f>IFERROR(YEAR(INDEX('Content calendar'!$A$7:$A$506,MATCH(199,'Content calendar'!$P$7:$P$506,0)))&amp;"-"&amp;TEXT(MONTH(INDEX('Content calendar'!$A$7:$A$506,MATCH(199,'Content calendar'!$P$7:$P$506,0))),"00")&amp;"-"&amp;TEXT(DAY(INDEX('Content calendar'!$A$7:$A$506,MATCH(199,'Content calendar'!$P$7:$P$506,0))),"00")&amp;" "&amp;TEXT(HOUR(INDEX('Content calendar'!$B$7:$B$506,MATCH(199,'Content calendar'!$P$7:$P$506,0))),"00")&amp;":"&amp;TEXT(MINUTE(INDEX('Content calendar'!$B$7:$B$506,MATCH(199,'Content calendar'!$P$7:$P$506,0))),"00"),"")</f>
        <v/>
      </c>
      <c r="C200" s="49">
        <f>IFERROR(INDEX('Content calendar'!$K$7:$K$506,MATCH(199,'Content calendar'!$P$7:$P$506,0))&amp;"","")</f>
        <v/>
      </c>
      <c r="D200" s="49">
        <f>IFERROR(INDEX('Content calendar'!$L$7:$L$506,MATCH(199,'Content calendar'!$P$7:$P$506,0))&amp;"","")</f>
        <v/>
      </c>
      <c r="E200" s="49">
        <f>IFERROR(INDEX('Content calendar'!$O$7:$O$506,MATCH(199,'Content calendar'!$P$7:$P$506,0))&amp;"","")</f>
        <v/>
      </c>
    </row>
    <row r="201">
      <c r="A201" s="49">
        <f>IFERROR(INDEX('Content calendar'!$H$7:$H$506,MATCH(200,'Content calendar'!$P$7:$P$506,0))&amp;"","")</f>
        <v/>
      </c>
      <c r="B201" s="49">
        <f>IFERROR(YEAR(INDEX('Content calendar'!$A$7:$A$506,MATCH(200,'Content calendar'!$P$7:$P$506,0)))&amp;"-"&amp;TEXT(MONTH(INDEX('Content calendar'!$A$7:$A$506,MATCH(200,'Content calendar'!$P$7:$P$506,0))),"00")&amp;"-"&amp;TEXT(DAY(INDEX('Content calendar'!$A$7:$A$506,MATCH(200,'Content calendar'!$P$7:$P$506,0))),"00")&amp;" "&amp;TEXT(HOUR(INDEX('Content calendar'!$B$7:$B$506,MATCH(200,'Content calendar'!$P$7:$P$506,0))),"00")&amp;":"&amp;TEXT(MINUTE(INDEX('Content calendar'!$B$7:$B$506,MATCH(200,'Content calendar'!$P$7:$P$506,0))),"00"),"")</f>
        <v/>
      </c>
      <c r="C201" s="49">
        <f>IFERROR(INDEX('Content calendar'!$K$7:$K$506,MATCH(200,'Content calendar'!$P$7:$P$506,0))&amp;"","")</f>
        <v/>
      </c>
      <c r="D201" s="49">
        <f>IFERROR(INDEX('Content calendar'!$L$7:$L$506,MATCH(200,'Content calendar'!$P$7:$P$506,0))&amp;"","")</f>
        <v/>
      </c>
      <c r="E201" s="49">
        <f>IFERROR(INDEX('Content calendar'!$O$7:$O$506,MATCH(200,'Content calendar'!$P$7:$P$506,0))&amp;"","")</f>
        <v/>
      </c>
    </row>
    <row r="202">
      <c r="A202" s="49">
        <f>IFERROR(INDEX('Content calendar'!$H$7:$H$506,MATCH(201,'Content calendar'!$P$7:$P$506,0))&amp;"","")</f>
        <v/>
      </c>
      <c r="B202" s="49">
        <f>IFERROR(YEAR(INDEX('Content calendar'!$A$7:$A$506,MATCH(201,'Content calendar'!$P$7:$P$506,0)))&amp;"-"&amp;TEXT(MONTH(INDEX('Content calendar'!$A$7:$A$506,MATCH(201,'Content calendar'!$P$7:$P$506,0))),"00")&amp;"-"&amp;TEXT(DAY(INDEX('Content calendar'!$A$7:$A$506,MATCH(201,'Content calendar'!$P$7:$P$506,0))),"00")&amp;" "&amp;TEXT(HOUR(INDEX('Content calendar'!$B$7:$B$506,MATCH(201,'Content calendar'!$P$7:$P$506,0))),"00")&amp;":"&amp;TEXT(MINUTE(INDEX('Content calendar'!$B$7:$B$506,MATCH(201,'Content calendar'!$P$7:$P$506,0))),"00"),"")</f>
        <v/>
      </c>
      <c r="C202" s="49">
        <f>IFERROR(INDEX('Content calendar'!$K$7:$K$506,MATCH(201,'Content calendar'!$P$7:$P$506,0))&amp;"","")</f>
        <v/>
      </c>
      <c r="D202" s="49">
        <f>IFERROR(INDEX('Content calendar'!$L$7:$L$506,MATCH(201,'Content calendar'!$P$7:$P$506,0))&amp;"","")</f>
        <v/>
      </c>
      <c r="E202" s="49">
        <f>IFERROR(INDEX('Content calendar'!$O$7:$O$506,MATCH(201,'Content calendar'!$P$7:$P$506,0))&amp;"","")</f>
        <v/>
      </c>
    </row>
    <row r="203">
      <c r="A203" s="49">
        <f>IFERROR(INDEX('Content calendar'!$H$7:$H$506,MATCH(202,'Content calendar'!$P$7:$P$506,0))&amp;"","")</f>
        <v/>
      </c>
      <c r="B203" s="49">
        <f>IFERROR(YEAR(INDEX('Content calendar'!$A$7:$A$506,MATCH(202,'Content calendar'!$P$7:$P$506,0)))&amp;"-"&amp;TEXT(MONTH(INDEX('Content calendar'!$A$7:$A$506,MATCH(202,'Content calendar'!$P$7:$P$506,0))),"00")&amp;"-"&amp;TEXT(DAY(INDEX('Content calendar'!$A$7:$A$506,MATCH(202,'Content calendar'!$P$7:$P$506,0))),"00")&amp;" "&amp;TEXT(HOUR(INDEX('Content calendar'!$B$7:$B$506,MATCH(202,'Content calendar'!$P$7:$P$506,0))),"00")&amp;":"&amp;TEXT(MINUTE(INDEX('Content calendar'!$B$7:$B$506,MATCH(202,'Content calendar'!$P$7:$P$506,0))),"00"),"")</f>
        <v/>
      </c>
      <c r="C203" s="49">
        <f>IFERROR(INDEX('Content calendar'!$K$7:$K$506,MATCH(202,'Content calendar'!$P$7:$P$506,0))&amp;"","")</f>
        <v/>
      </c>
      <c r="D203" s="49">
        <f>IFERROR(INDEX('Content calendar'!$L$7:$L$506,MATCH(202,'Content calendar'!$P$7:$P$506,0))&amp;"","")</f>
        <v/>
      </c>
      <c r="E203" s="49">
        <f>IFERROR(INDEX('Content calendar'!$O$7:$O$506,MATCH(202,'Content calendar'!$P$7:$P$506,0))&amp;"","")</f>
        <v/>
      </c>
    </row>
    <row r="204">
      <c r="A204" s="49">
        <f>IFERROR(INDEX('Content calendar'!$H$7:$H$506,MATCH(203,'Content calendar'!$P$7:$P$506,0))&amp;"","")</f>
        <v/>
      </c>
      <c r="B204" s="49">
        <f>IFERROR(YEAR(INDEX('Content calendar'!$A$7:$A$506,MATCH(203,'Content calendar'!$P$7:$P$506,0)))&amp;"-"&amp;TEXT(MONTH(INDEX('Content calendar'!$A$7:$A$506,MATCH(203,'Content calendar'!$P$7:$P$506,0))),"00")&amp;"-"&amp;TEXT(DAY(INDEX('Content calendar'!$A$7:$A$506,MATCH(203,'Content calendar'!$P$7:$P$506,0))),"00")&amp;" "&amp;TEXT(HOUR(INDEX('Content calendar'!$B$7:$B$506,MATCH(203,'Content calendar'!$P$7:$P$506,0))),"00")&amp;":"&amp;TEXT(MINUTE(INDEX('Content calendar'!$B$7:$B$506,MATCH(203,'Content calendar'!$P$7:$P$506,0))),"00"),"")</f>
        <v/>
      </c>
      <c r="C204" s="49">
        <f>IFERROR(INDEX('Content calendar'!$K$7:$K$506,MATCH(203,'Content calendar'!$P$7:$P$506,0))&amp;"","")</f>
        <v/>
      </c>
      <c r="D204" s="49">
        <f>IFERROR(INDEX('Content calendar'!$L$7:$L$506,MATCH(203,'Content calendar'!$P$7:$P$506,0))&amp;"","")</f>
        <v/>
      </c>
      <c r="E204" s="49">
        <f>IFERROR(INDEX('Content calendar'!$O$7:$O$506,MATCH(203,'Content calendar'!$P$7:$P$506,0))&amp;"","")</f>
        <v/>
      </c>
    </row>
    <row r="205">
      <c r="A205" s="49">
        <f>IFERROR(INDEX('Content calendar'!$H$7:$H$506,MATCH(204,'Content calendar'!$P$7:$P$506,0))&amp;"","")</f>
        <v/>
      </c>
      <c r="B205" s="49">
        <f>IFERROR(YEAR(INDEX('Content calendar'!$A$7:$A$506,MATCH(204,'Content calendar'!$P$7:$P$506,0)))&amp;"-"&amp;TEXT(MONTH(INDEX('Content calendar'!$A$7:$A$506,MATCH(204,'Content calendar'!$P$7:$P$506,0))),"00")&amp;"-"&amp;TEXT(DAY(INDEX('Content calendar'!$A$7:$A$506,MATCH(204,'Content calendar'!$P$7:$P$506,0))),"00")&amp;" "&amp;TEXT(HOUR(INDEX('Content calendar'!$B$7:$B$506,MATCH(204,'Content calendar'!$P$7:$P$506,0))),"00")&amp;":"&amp;TEXT(MINUTE(INDEX('Content calendar'!$B$7:$B$506,MATCH(204,'Content calendar'!$P$7:$P$506,0))),"00"),"")</f>
        <v/>
      </c>
      <c r="C205" s="49">
        <f>IFERROR(INDEX('Content calendar'!$K$7:$K$506,MATCH(204,'Content calendar'!$P$7:$P$506,0))&amp;"","")</f>
        <v/>
      </c>
      <c r="D205" s="49">
        <f>IFERROR(INDEX('Content calendar'!$L$7:$L$506,MATCH(204,'Content calendar'!$P$7:$P$506,0))&amp;"","")</f>
        <v/>
      </c>
      <c r="E205" s="49">
        <f>IFERROR(INDEX('Content calendar'!$O$7:$O$506,MATCH(204,'Content calendar'!$P$7:$P$506,0))&amp;"","")</f>
        <v/>
      </c>
    </row>
    <row r="206">
      <c r="A206" s="49">
        <f>IFERROR(INDEX('Content calendar'!$H$7:$H$506,MATCH(205,'Content calendar'!$P$7:$P$506,0))&amp;"","")</f>
        <v/>
      </c>
      <c r="B206" s="49">
        <f>IFERROR(YEAR(INDEX('Content calendar'!$A$7:$A$506,MATCH(205,'Content calendar'!$P$7:$P$506,0)))&amp;"-"&amp;TEXT(MONTH(INDEX('Content calendar'!$A$7:$A$506,MATCH(205,'Content calendar'!$P$7:$P$506,0))),"00")&amp;"-"&amp;TEXT(DAY(INDEX('Content calendar'!$A$7:$A$506,MATCH(205,'Content calendar'!$P$7:$P$506,0))),"00")&amp;" "&amp;TEXT(HOUR(INDEX('Content calendar'!$B$7:$B$506,MATCH(205,'Content calendar'!$P$7:$P$506,0))),"00")&amp;":"&amp;TEXT(MINUTE(INDEX('Content calendar'!$B$7:$B$506,MATCH(205,'Content calendar'!$P$7:$P$506,0))),"00"),"")</f>
        <v/>
      </c>
      <c r="C206" s="49">
        <f>IFERROR(INDEX('Content calendar'!$K$7:$K$506,MATCH(205,'Content calendar'!$P$7:$P$506,0))&amp;"","")</f>
        <v/>
      </c>
      <c r="D206" s="49">
        <f>IFERROR(INDEX('Content calendar'!$L$7:$L$506,MATCH(205,'Content calendar'!$P$7:$P$506,0))&amp;"","")</f>
        <v/>
      </c>
      <c r="E206" s="49">
        <f>IFERROR(INDEX('Content calendar'!$O$7:$O$506,MATCH(205,'Content calendar'!$P$7:$P$506,0))&amp;"","")</f>
        <v/>
      </c>
    </row>
    <row r="207">
      <c r="A207" s="49">
        <f>IFERROR(INDEX('Content calendar'!$H$7:$H$506,MATCH(206,'Content calendar'!$P$7:$P$506,0))&amp;"","")</f>
        <v/>
      </c>
      <c r="B207" s="49">
        <f>IFERROR(YEAR(INDEX('Content calendar'!$A$7:$A$506,MATCH(206,'Content calendar'!$P$7:$P$506,0)))&amp;"-"&amp;TEXT(MONTH(INDEX('Content calendar'!$A$7:$A$506,MATCH(206,'Content calendar'!$P$7:$P$506,0))),"00")&amp;"-"&amp;TEXT(DAY(INDEX('Content calendar'!$A$7:$A$506,MATCH(206,'Content calendar'!$P$7:$P$506,0))),"00")&amp;" "&amp;TEXT(HOUR(INDEX('Content calendar'!$B$7:$B$506,MATCH(206,'Content calendar'!$P$7:$P$506,0))),"00")&amp;":"&amp;TEXT(MINUTE(INDEX('Content calendar'!$B$7:$B$506,MATCH(206,'Content calendar'!$P$7:$P$506,0))),"00"),"")</f>
        <v/>
      </c>
      <c r="C207" s="49">
        <f>IFERROR(INDEX('Content calendar'!$K$7:$K$506,MATCH(206,'Content calendar'!$P$7:$P$506,0))&amp;"","")</f>
        <v/>
      </c>
      <c r="D207" s="49">
        <f>IFERROR(INDEX('Content calendar'!$L$7:$L$506,MATCH(206,'Content calendar'!$P$7:$P$506,0))&amp;"","")</f>
        <v/>
      </c>
      <c r="E207" s="49">
        <f>IFERROR(INDEX('Content calendar'!$O$7:$O$506,MATCH(206,'Content calendar'!$P$7:$P$506,0))&amp;"","")</f>
        <v/>
      </c>
    </row>
    <row r="208">
      <c r="A208" s="49">
        <f>IFERROR(INDEX('Content calendar'!$H$7:$H$506,MATCH(207,'Content calendar'!$P$7:$P$506,0))&amp;"","")</f>
        <v/>
      </c>
      <c r="B208" s="49">
        <f>IFERROR(YEAR(INDEX('Content calendar'!$A$7:$A$506,MATCH(207,'Content calendar'!$P$7:$P$506,0)))&amp;"-"&amp;TEXT(MONTH(INDEX('Content calendar'!$A$7:$A$506,MATCH(207,'Content calendar'!$P$7:$P$506,0))),"00")&amp;"-"&amp;TEXT(DAY(INDEX('Content calendar'!$A$7:$A$506,MATCH(207,'Content calendar'!$P$7:$P$506,0))),"00")&amp;" "&amp;TEXT(HOUR(INDEX('Content calendar'!$B$7:$B$506,MATCH(207,'Content calendar'!$P$7:$P$506,0))),"00")&amp;":"&amp;TEXT(MINUTE(INDEX('Content calendar'!$B$7:$B$506,MATCH(207,'Content calendar'!$P$7:$P$506,0))),"00"),"")</f>
        <v/>
      </c>
      <c r="C208" s="49">
        <f>IFERROR(INDEX('Content calendar'!$K$7:$K$506,MATCH(207,'Content calendar'!$P$7:$P$506,0))&amp;"","")</f>
        <v/>
      </c>
      <c r="D208" s="49">
        <f>IFERROR(INDEX('Content calendar'!$L$7:$L$506,MATCH(207,'Content calendar'!$P$7:$P$506,0))&amp;"","")</f>
        <v/>
      </c>
      <c r="E208" s="49">
        <f>IFERROR(INDEX('Content calendar'!$O$7:$O$506,MATCH(207,'Content calendar'!$P$7:$P$506,0))&amp;"","")</f>
        <v/>
      </c>
    </row>
    <row r="209">
      <c r="A209" s="49">
        <f>IFERROR(INDEX('Content calendar'!$H$7:$H$506,MATCH(208,'Content calendar'!$P$7:$P$506,0))&amp;"","")</f>
        <v/>
      </c>
      <c r="B209" s="49">
        <f>IFERROR(YEAR(INDEX('Content calendar'!$A$7:$A$506,MATCH(208,'Content calendar'!$P$7:$P$506,0)))&amp;"-"&amp;TEXT(MONTH(INDEX('Content calendar'!$A$7:$A$506,MATCH(208,'Content calendar'!$P$7:$P$506,0))),"00")&amp;"-"&amp;TEXT(DAY(INDEX('Content calendar'!$A$7:$A$506,MATCH(208,'Content calendar'!$P$7:$P$506,0))),"00")&amp;" "&amp;TEXT(HOUR(INDEX('Content calendar'!$B$7:$B$506,MATCH(208,'Content calendar'!$P$7:$P$506,0))),"00")&amp;":"&amp;TEXT(MINUTE(INDEX('Content calendar'!$B$7:$B$506,MATCH(208,'Content calendar'!$P$7:$P$506,0))),"00"),"")</f>
        <v/>
      </c>
      <c r="C209" s="49">
        <f>IFERROR(INDEX('Content calendar'!$K$7:$K$506,MATCH(208,'Content calendar'!$P$7:$P$506,0))&amp;"","")</f>
        <v/>
      </c>
      <c r="D209" s="49">
        <f>IFERROR(INDEX('Content calendar'!$L$7:$L$506,MATCH(208,'Content calendar'!$P$7:$P$506,0))&amp;"","")</f>
        <v/>
      </c>
      <c r="E209" s="49">
        <f>IFERROR(INDEX('Content calendar'!$O$7:$O$506,MATCH(208,'Content calendar'!$P$7:$P$506,0))&amp;"","")</f>
        <v/>
      </c>
    </row>
    <row r="210">
      <c r="A210" s="49">
        <f>IFERROR(INDEX('Content calendar'!$H$7:$H$506,MATCH(209,'Content calendar'!$P$7:$P$506,0))&amp;"","")</f>
        <v/>
      </c>
      <c r="B210" s="49">
        <f>IFERROR(YEAR(INDEX('Content calendar'!$A$7:$A$506,MATCH(209,'Content calendar'!$P$7:$P$506,0)))&amp;"-"&amp;TEXT(MONTH(INDEX('Content calendar'!$A$7:$A$506,MATCH(209,'Content calendar'!$P$7:$P$506,0))),"00")&amp;"-"&amp;TEXT(DAY(INDEX('Content calendar'!$A$7:$A$506,MATCH(209,'Content calendar'!$P$7:$P$506,0))),"00")&amp;" "&amp;TEXT(HOUR(INDEX('Content calendar'!$B$7:$B$506,MATCH(209,'Content calendar'!$P$7:$P$506,0))),"00")&amp;":"&amp;TEXT(MINUTE(INDEX('Content calendar'!$B$7:$B$506,MATCH(209,'Content calendar'!$P$7:$P$506,0))),"00"),"")</f>
        <v/>
      </c>
      <c r="C210" s="49">
        <f>IFERROR(INDEX('Content calendar'!$K$7:$K$506,MATCH(209,'Content calendar'!$P$7:$P$506,0))&amp;"","")</f>
        <v/>
      </c>
      <c r="D210" s="49">
        <f>IFERROR(INDEX('Content calendar'!$L$7:$L$506,MATCH(209,'Content calendar'!$P$7:$P$506,0))&amp;"","")</f>
        <v/>
      </c>
      <c r="E210" s="49">
        <f>IFERROR(INDEX('Content calendar'!$O$7:$O$506,MATCH(209,'Content calendar'!$P$7:$P$506,0))&amp;"","")</f>
        <v/>
      </c>
    </row>
    <row r="211">
      <c r="A211" s="49">
        <f>IFERROR(INDEX('Content calendar'!$H$7:$H$506,MATCH(210,'Content calendar'!$P$7:$P$506,0))&amp;"","")</f>
        <v/>
      </c>
      <c r="B211" s="49">
        <f>IFERROR(YEAR(INDEX('Content calendar'!$A$7:$A$506,MATCH(210,'Content calendar'!$P$7:$P$506,0)))&amp;"-"&amp;TEXT(MONTH(INDEX('Content calendar'!$A$7:$A$506,MATCH(210,'Content calendar'!$P$7:$P$506,0))),"00")&amp;"-"&amp;TEXT(DAY(INDEX('Content calendar'!$A$7:$A$506,MATCH(210,'Content calendar'!$P$7:$P$506,0))),"00")&amp;" "&amp;TEXT(HOUR(INDEX('Content calendar'!$B$7:$B$506,MATCH(210,'Content calendar'!$P$7:$P$506,0))),"00")&amp;":"&amp;TEXT(MINUTE(INDEX('Content calendar'!$B$7:$B$506,MATCH(210,'Content calendar'!$P$7:$P$506,0))),"00"),"")</f>
        <v/>
      </c>
      <c r="C211" s="49">
        <f>IFERROR(INDEX('Content calendar'!$K$7:$K$506,MATCH(210,'Content calendar'!$P$7:$P$506,0))&amp;"","")</f>
        <v/>
      </c>
      <c r="D211" s="49">
        <f>IFERROR(INDEX('Content calendar'!$L$7:$L$506,MATCH(210,'Content calendar'!$P$7:$P$506,0))&amp;"","")</f>
        <v/>
      </c>
      <c r="E211" s="49">
        <f>IFERROR(INDEX('Content calendar'!$O$7:$O$506,MATCH(210,'Content calendar'!$P$7:$P$506,0))&amp;"","")</f>
        <v/>
      </c>
    </row>
    <row r="212">
      <c r="A212" s="49">
        <f>IFERROR(INDEX('Content calendar'!$H$7:$H$506,MATCH(211,'Content calendar'!$P$7:$P$506,0))&amp;"","")</f>
        <v/>
      </c>
      <c r="B212" s="49">
        <f>IFERROR(YEAR(INDEX('Content calendar'!$A$7:$A$506,MATCH(211,'Content calendar'!$P$7:$P$506,0)))&amp;"-"&amp;TEXT(MONTH(INDEX('Content calendar'!$A$7:$A$506,MATCH(211,'Content calendar'!$P$7:$P$506,0))),"00")&amp;"-"&amp;TEXT(DAY(INDEX('Content calendar'!$A$7:$A$506,MATCH(211,'Content calendar'!$P$7:$P$506,0))),"00")&amp;" "&amp;TEXT(HOUR(INDEX('Content calendar'!$B$7:$B$506,MATCH(211,'Content calendar'!$P$7:$P$506,0))),"00")&amp;":"&amp;TEXT(MINUTE(INDEX('Content calendar'!$B$7:$B$506,MATCH(211,'Content calendar'!$P$7:$P$506,0))),"00"),"")</f>
        <v/>
      </c>
      <c r="C212" s="49">
        <f>IFERROR(INDEX('Content calendar'!$K$7:$K$506,MATCH(211,'Content calendar'!$P$7:$P$506,0))&amp;"","")</f>
        <v/>
      </c>
      <c r="D212" s="49">
        <f>IFERROR(INDEX('Content calendar'!$L$7:$L$506,MATCH(211,'Content calendar'!$P$7:$P$506,0))&amp;"","")</f>
        <v/>
      </c>
      <c r="E212" s="49">
        <f>IFERROR(INDEX('Content calendar'!$O$7:$O$506,MATCH(211,'Content calendar'!$P$7:$P$506,0))&amp;"","")</f>
        <v/>
      </c>
    </row>
    <row r="213">
      <c r="A213" s="49">
        <f>IFERROR(INDEX('Content calendar'!$H$7:$H$506,MATCH(212,'Content calendar'!$P$7:$P$506,0))&amp;"","")</f>
        <v/>
      </c>
      <c r="B213" s="49">
        <f>IFERROR(YEAR(INDEX('Content calendar'!$A$7:$A$506,MATCH(212,'Content calendar'!$P$7:$P$506,0)))&amp;"-"&amp;TEXT(MONTH(INDEX('Content calendar'!$A$7:$A$506,MATCH(212,'Content calendar'!$P$7:$P$506,0))),"00")&amp;"-"&amp;TEXT(DAY(INDEX('Content calendar'!$A$7:$A$506,MATCH(212,'Content calendar'!$P$7:$P$506,0))),"00")&amp;" "&amp;TEXT(HOUR(INDEX('Content calendar'!$B$7:$B$506,MATCH(212,'Content calendar'!$P$7:$P$506,0))),"00")&amp;":"&amp;TEXT(MINUTE(INDEX('Content calendar'!$B$7:$B$506,MATCH(212,'Content calendar'!$P$7:$P$506,0))),"00"),"")</f>
        <v/>
      </c>
      <c r="C213" s="49">
        <f>IFERROR(INDEX('Content calendar'!$K$7:$K$506,MATCH(212,'Content calendar'!$P$7:$P$506,0))&amp;"","")</f>
        <v/>
      </c>
      <c r="D213" s="49">
        <f>IFERROR(INDEX('Content calendar'!$L$7:$L$506,MATCH(212,'Content calendar'!$P$7:$P$506,0))&amp;"","")</f>
        <v/>
      </c>
      <c r="E213" s="49">
        <f>IFERROR(INDEX('Content calendar'!$O$7:$O$506,MATCH(212,'Content calendar'!$P$7:$P$506,0))&amp;"","")</f>
        <v/>
      </c>
    </row>
    <row r="214">
      <c r="A214" s="49">
        <f>IFERROR(INDEX('Content calendar'!$H$7:$H$506,MATCH(213,'Content calendar'!$P$7:$P$506,0))&amp;"","")</f>
        <v/>
      </c>
      <c r="B214" s="49">
        <f>IFERROR(YEAR(INDEX('Content calendar'!$A$7:$A$506,MATCH(213,'Content calendar'!$P$7:$P$506,0)))&amp;"-"&amp;TEXT(MONTH(INDEX('Content calendar'!$A$7:$A$506,MATCH(213,'Content calendar'!$P$7:$P$506,0))),"00")&amp;"-"&amp;TEXT(DAY(INDEX('Content calendar'!$A$7:$A$506,MATCH(213,'Content calendar'!$P$7:$P$506,0))),"00")&amp;" "&amp;TEXT(HOUR(INDEX('Content calendar'!$B$7:$B$506,MATCH(213,'Content calendar'!$P$7:$P$506,0))),"00")&amp;":"&amp;TEXT(MINUTE(INDEX('Content calendar'!$B$7:$B$506,MATCH(213,'Content calendar'!$P$7:$P$506,0))),"00"),"")</f>
        <v/>
      </c>
      <c r="C214" s="49">
        <f>IFERROR(INDEX('Content calendar'!$K$7:$K$506,MATCH(213,'Content calendar'!$P$7:$P$506,0))&amp;"","")</f>
        <v/>
      </c>
      <c r="D214" s="49">
        <f>IFERROR(INDEX('Content calendar'!$L$7:$L$506,MATCH(213,'Content calendar'!$P$7:$P$506,0))&amp;"","")</f>
        <v/>
      </c>
      <c r="E214" s="49">
        <f>IFERROR(INDEX('Content calendar'!$O$7:$O$506,MATCH(213,'Content calendar'!$P$7:$P$506,0))&amp;"","")</f>
        <v/>
      </c>
    </row>
    <row r="215">
      <c r="A215" s="49">
        <f>IFERROR(INDEX('Content calendar'!$H$7:$H$506,MATCH(214,'Content calendar'!$P$7:$P$506,0))&amp;"","")</f>
        <v/>
      </c>
      <c r="B215" s="49">
        <f>IFERROR(YEAR(INDEX('Content calendar'!$A$7:$A$506,MATCH(214,'Content calendar'!$P$7:$P$506,0)))&amp;"-"&amp;TEXT(MONTH(INDEX('Content calendar'!$A$7:$A$506,MATCH(214,'Content calendar'!$P$7:$P$506,0))),"00")&amp;"-"&amp;TEXT(DAY(INDEX('Content calendar'!$A$7:$A$506,MATCH(214,'Content calendar'!$P$7:$P$506,0))),"00")&amp;" "&amp;TEXT(HOUR(INDEX('Content calendar'!$B$7:$B$506,MATCH(214,'Content calendar'!$P$7:$P$506,0))),"00")&amp;":"&amp;TEXT(MINUTE(INDEX('Content calendar'!$B$7:$B$506,MATCH(214,'Content calendar'!$P$7:$P$506,0))),"00"),"")</f>
        <v/>
      </c>
      <c r="C215" s="49">
        <f>IFERROR(INDEX('Content calendar'!$K$7:$K$506,MATCH(214,'Content calendar'!$P$7:$P$506,0))&amp;"","")</f>
        <v/>
      </c>
      <c r="D215" s="49">
        <f>IFERROR(INDEX('Content calendar'!$L$7:$L$506,MATCH(214,'Content calendar'!$P$7:$P$506,0))&amp;"","")</f>
        <v/>
      </c>
      <c r="E215" s="49">
        <f>IFERROR(INDEX('Content calendar'!$O$7:$O$506,MATCH(214,'Content calendar'!$P$7:$P$506,0))&amp;"","")</f>
        <v/>
      </c>
    </row>
    <row r="216">
      <c r="A216" s="49">
        <f>IFERROR(INDEX('Content calendar'!$H$7:$H$506,MATCH(215,'Content calendar'!$P$7:$P$506,0))&amp;"","")</f>
        <v/>
      </c>
      <c r="B216" s="49">
        <f>IFERROR(YEAR(INDEX('Content calendar'!$A$7:$A$506,MATCH(215,'Content calendar'!$P$7:$P$506,0)))&amp;"-"&amp;TEXT(MONTH(INDEX('Content calendar'!$A$7:$A$506,MATCH(215,'Content calendar'!$P$7:$P$506,0))),"00")&amp;"-"&amp;TEXT(DAY(INDEX('Content calendar'!$A$7:$A$506,MATCH(215,'Content calendar'!$P$7:$P$506,0))),"00")&amp;" "&amp;TEXT(HOUR(INDEX('Content calendar'!$B$7:$B$506,MATCH(215,'Content calendar'!$P$7:$P$506,0))),"00")&amp;":"&amp;TEXT(MINUTE(INDEX('Content calendar'!$B$7:$B$506,MATCH(215,'Content calendar'!$P$7:$P$506,0))),"00"),"")</f>
        <v/>
      </c>
      <c r="C216" s="49">
        <f>IFERROR(INDEX('Content calendar'!$K$7:$K$506,MATCH(215,'Content calendar'!$P$7:$P$506,0))&amp;"","")</f>
        <v/>
      </c>
      <c r="D216" s="49">
        <f>IFERROR(INDEX('Content calendar'!$L$7:$L$506,MATCH(215,'Content calendar'!$P$7:$P$506,0))&amp;"","")</f>
        <v/>
      </c>
      <c r="E216" s="49">
        <f>IFERROR(INDEX('Content calendar'!$O$7:$O$506,MATCH(215,'Content calendar'!$P$7:$P$506,0))&amp;"","")</f>
        <v/>
      </c>
    </row>
    <row r="217">
      <c r="A217" s="49">
        <f>IFERROR(INDEX('Content calendar'!$H$7:$H$506,MATCH(216,'Content calendar'!$P$7:$P$506,0))&amp;"","")</f>
        <v/>
      </c>
      <c r="B217" s="49">
        <f>IFERROR(YEAR(INDEX('Content calendar'!$A$7:$A$506,MATCH(216,'Content calendar'!$P$7:$P$506,0)))&amp;"-"&amp;TEXT(MONTH(INDEX('Content calendar'!$A$7:$A$506,MATCH(216,'Content calendar'!$P$7:$P$506,0))),"00")&amp;"-"&amp;TEXT(DAY(INDEX('Content calendar'!$A$7:$A$506,MATCH(216,'Content calendar'!$P$7:$P$506,0))),"00")&amp;" "&amp;TEXT(HOUR(INDEX('Content calendar'!$B$7:$B$506,MATCH(216,'Content calendar'!$P$7:$P$506,0))),"00")&amp;":"&amp;TEXT(MINUTE(INDEX('Content calendar'!$B$7:$B$506,MATCH(216,'Content calendar'!$P$7:$P$506,0))),"00"),"")</f>
        <v/>
      </c>
      <c r="C217" s="49">
        <f>IFERROR(INDEX('Content calendar'!$K$7:$K$506,MATCH(216,'Content calendar'!$P$7:$P$506,0))&amp;"","")</f>
        <v/>
      </c>
      <c r="D217" s="49">
        <f>IFERROR(INDEX('Content calendar'!$L$7:$L$506,MATCH(216,'Content calendar'!$P$7:$P$506,0))&amp;"","")</f>
        <v/>
      </c>
      <c r="E217" s="49">
        <f>IFERROR(INDEX('Content calendar'!$O$7:$O$506,MATCH(216,'Content calendar'!$P$7:$P$506,0))&amp;"","")</f>
        <v/>
      </c>
    </row>
    <row r="218">
      <c r="A218" s="49">
        <f>IFERROR(INDEX('Content calendar'!$H$7:$H$506,MATCH(217,'Content calendar'!$P$7:$P$506,0))&amp;"","")</f>
        <v/>
      </c>
      <c r="B218" s="49">
        <f>IFERROR(YEAR(INDEX('Content calendar'!$A$7:$A$506,MATCH(217,'Content calendar'!$P$7:$P$506,0)))&amp;"-"&amp;TEXT(MONTH(INDEX('Content calendar'!$A$7:$A$506,MATCH(217,'Content calendar'!$P$7:$P$506,0))),"00")&amp;"-"&amp;TEXT(DAY(INDEX('Content calendar'!$A$7:$A$506,MATCH(217,'Content calendar'!$P$7:$P$506,0))),"00")&amp;" "&amp;TEXT(HOUR(INDEX('Content calendar'!$B$7:$B$506,MATCH(217,'Content calendar'!$P$7:$P$506,0))),"00")&amp;":"&amp;TEXT(MINUTE(INDEX('Content calendar'!$B$7:$B$506,MATCH(217,'Content calendar'!$P$7:$P$506,0))),"00"),"")</f>
        <v/>
      </c>
      <c r="C218" s="49">
        <f>IFERROR(INDEX('Content calendar'!$K$7:$K$506,MATCH(217,'Content calendar'!$P$7:$P$506,0))&amp;"","")</f>
        <v/>
      </c>
      <c r="D218" s="49">
        <f>IFERROR(INDEX('Content calendar'!$L$7:$L$506,MATCH(217,'Content calendar'!$P$7:$P$506,0))&amp;"","")</f>
        <v/>
      </c>
      <c r="E218" s="49">
        <f>IFERROR(INDEX('Content calendar'!$O$7:$O$506,MATCH(217,'Content calendar'!$P$7:$P$506,0))&amp;"","")</f>
        <v/>
      </c>
    </row>
    <row r="219">
      <c r="A219" s="49">
        <f>IFERROR(INDEX('Content calendar'!$H$7:$H$506,MATCH(218,'Content calendar'!$P$7:$P$506,0))&amp;"","")</f>
        <v/>
      </c>
      <c r="B219" s="49">
        <f>IFERROR(YEAR(INDEX('Content calendar'!$A$7:$A$506,MATCH(218,'Content calendar'!$P$7:$P$506,0)))&amp;"-"&amp;TEXT(MONTH(INDEX('Content calendar'!$A$7:$A$506,MATCH(218,'Content calendar'!$P$7:$P$506,0))),"00")&amp;"-"&amp;TEXT(DAY(INDEX('Content calendar'!$A$7:$A$506,MATCH(218,'Content calendar'!$P$7:$P$506,0))),"00")&amp;" "&amp;TEXT(HOUR(INDEX('Content calendar'!$B$7:$B$506,MATCH(218,'Content calendar'!$P$7:$P$506,0))),"00")&amp;":"&amp;TEXT(MINUTE(INDEX('Content calendar'!$B$7:$B$506,MATCH(218,'Content calendar'!$P$7:$P$506,0))),"00"),"")</f>
        <v/>
      </c>
      <c r="C219" s="49">
        <f>IFERROR(INDEX('Content calendar'!$K$7:$K$506,MATCH(218,'Content calendar'!$P$7:$P$506,0))&amp;"","")</f>
        <v/>
      </c>
      <c r="D219" s="49">
        <f>IFERROR(INDEX('Content calendar'!$L$7:$L$506,MATCH(218,'Content calendar'!$P$7:$P$506,0))&amp;"","")</f>
        <v/>
      </c>
      <c r="E219" s="49">
        <f>IFERROR(INDEX('Content calendar'!$O$7:$O$506,MATCH(218,'Content calendar'!$P$7:$P$506,0))&amp;"","")</f>
        <v/>
      </c>
    </row>
    <row r="220">
      <c r="A220" s="49">
        <f>IFERROR(INDEX('Content calendar'!$H$7:$H$506,MATCH(219,'Content calendar'!$P$7:$P$506,0))&amp;"","")</f>
        <v/>
      </c>
      <c r="B220" s="49">
        <f>IFERROR(YEAR(INDEX('Content calendar'!$A$7:$A$506,MATCH(219,'Content calendar'!$P$7:$P$506,0)))&amp;"-"&amp;TEXT(MONTH(INDEX('Content calendar'!$A$7:$A$506,MATCH(219,'Content calendar'!$P$7:$P$506,0))),"00")&amp;"-"&amp;TEXT(DAY(INDEX('Content calendar'!$A$7:$A$506,MATCH(219,'Content calendar'!$P$7:$P$506,0))),"00")&amp;" "&amp;TEXT(HOUR(INDEX('Content calendar'!$B$7:$B$506,MATCH(219,'Content calendar'!$P$7:$P$506,0))),"00")&amp;":"&amp;TEXT(MINUTE(INDEX('Content calendar'!$B$7:$B$506,MATCH(219,'Content calendar'!$P$7:$P$506,0))),"00"),"")</f>
        <v/>
      </c>
      <c r="C220" s="49">
        <f>IFERROR(INDEX('Content calendar'!$K$7:$K$506,MATCH(219,'Content calendar'!$P$7:$P$506,0))&amp;"","")</f>
        <v/>
      </c>
      <c r="D220" s="49">
        <f>IFERROR(INDEX('Content calendar'!$L$7:$L$506,MATCH(219,'Content calendar'!$P$7:$P$506,0))&amp;"","")</f>
        <v/>
      </c>
      <c r="E220" s="49">
        <f>IFERROR(INDEX('Content calendar'!$O$7:$O$506,MATCH(219,'Content calendar'!$P$7:$P$506,0))&amp;"","")</f>
        <v/>
      </c>
    </row>
    <row r="221">
      <c r="A221" s="49">
        <f>IFERROR(INDEX('Content calendar'!$H$7:$H$506,MATCH(220,'Content calendar'!$P$7:$P$506,0))&amp;"","")</f>
        <v/>
      </c>
      <c r="B221" s="49">
        <f>IFERROR(YEAR(INDEX('Content calendar'!$A$7:$A$506,MATCH(220,'Content calendar'!$P$7:$P$506,0)))&amp;"-"&amp;TEXT(MONTH(INDEX('Content calendar'!$A$7:$A$506,MATCH(220,'Content calendar'!$P$7:$P$506,0))),"00")&amp;"-"&amp;TEXT(DAY(INDEX('Content calendar'!$A$7:$A$506,MATCH(220,'Content calendar'!$P$7:$P$506,0))),"00")&amp;" "&amp;TEXT(HOUR(INDEX('Content calendar'!$B$7:$B$506,MATCH(220,'Content calendar'!$P$7:$P$506,0))),"00")&amp;":"&amp;TEXT(MINUTE(INDEX('Content calendar'!$B$7:$B$506,MATCH(220,'Content calendar'!$P$7:$P$506,0))),"00"),"")</f>
        <v/>
      </c>
      <c r="C221" s="49">
        <f>IFERROR(INDEX('Content calendar'!$K$7:$K$506,MATCH(220,'Content calendar'!$P$7:$P$506,0))&amp;"","")</f>
        <v/>
      </c>
      <c r="D221" s="49">
        <f>IFERROR(INDEX('Content calendar'!$L$7:$L$506,MATCH(220,'Content calendar'!$P$7:$P$506,0))&amp;"","")</f>
        <v/>
      </c>
      <c r="E221" s="49">
        <f>IFERROR(INDEX('Content calendar'!$O$7:$O$506,MATCH(220,'Content calendar'!$P$7:$P$506,0))&amp;"","")</f>
        <v/>
      </c>
    </row>
    <row r="222">
      <c r="A222" s="49">
        <f>IFERROR(INDEX('Content calendar'!$H$7:$H$506,MATCH(221,'Content calendar'!$P$7:$P$506,0))&amp;"","")</f>
        <v/>
      </c>
      <c r="B222" s="49">
        <f>IFERROR(YEAR(INDEX('Content calendar'!$A$7:$A$506,MATCH(221,'Content calendar'!$P$7:$P$506,0)))&amp;"-"&amp;TEXT(MONTH(INDEX('Content calendar'!$A$7:$A$506,MATCH(221,'Content calendar'!$P$7:$P$506,0))),"00")&amp;"-"&amp;TEXT(DAY(INDEX('Content calendar'!$A$7:$A$506,MATCH(221,'Content calendar'!$P$7:$P$506,0))),"00")&amp;" "&amp;TEXT(HOUR(INDEX('Content calendar'!$B$7:$B$506,MATCH(221,'Content calendar'!$P$7:$P$506,0))),"00")&amp;":"&amp;TEXT(MINUTE(INDEX('Content calendar'!$B$7:$B$506,MATCH(221,'Content calendar'!$P$7:$P$506,0))),"00"),"")</f>
        <v/>
      </c>
      <c r="C222" s="49">
        <f>IFERROR(INDEX('Content calendar'!$K$7:$K$506,MATCH(221,'Content calendar'!$P$7:$P$506,0))&amp;"","")</f>
        <v/>
      </c>
      <c r="D222" s="49">
        <f>IFERROR(INDEX('Content calendar'!$L$7:$L$506,MATCH(221,'Content calendar'!$P$7:$P$506,0))&amp;"","")</f>
        <v/>
      </c>
      <c r="E222" s="49">
        <f>IFERROR(INDEX('Content calendar'!$O$7:$O$506,MATCH(221,'Content calendar'!$P$7:$P$506,0))&amp;"","")</f>
        <v/>
      </c>
    </row>
    <row r="223">
      <c r="A223" s="49">
        <f>IFERROR(INDEX('Content calendar'!$H$7:$H$506,MATCH(222,'Content calendar'!$P$7:$P$506,0))&amp;"","")</f>
        <v/>
      </c>
      <c r="B223" s="49">
        <f>IFERROR(YEAR(INDEX('Content calendar'!$A$7:$A$506,MATCH(222,'Content calendar'!$P$7:$P$506,0)))&amp;"-"&amp;TEXT(MONTH(INDEX('Content calendar'!$A$7:$A$506,MATCH(222,'Content calendar'!$P$7:$P$506,0))),"00")&amp;"-"&amp;TEXT(DAY(INDEX('Content calendar'!$A$7:$A$506,MATCH(222,'Content calendar'!$P$7:$P$506,0))),"00")&amp;" "&amp;TEXT(HOUR(INDEX('Content calendar'!$B$7:$B$506,MATCH(222,'Content calendar'!$P$7:$P$506,0))),"00")&amp;":"&amp;TEXT(MINUTE(INDEX('Content calendar'!$B$7:$B$506,MATCH(222,'Content calendar'!$P$7:$P$506,0))),"00"),"")</f>
        <v/>
      </c>
      <c r="C223" s="49">
        <f>IFERROR(INDEX('Content calendar'!$K$7:$K$506,MATCH(222,'Content calendar'!$P$7:$P$506,0))&amp;"","")</f>
        <v/>
      </c>
      <c r="D223" s="49">
        <f>IFERROR(INDEX('Content calendar'!$L$7:$L$506,MATCH(222,'Content calendar'!$P$7:$P$506,0))&amp;"","")</f>
        <v/>
      </c>
      <c r="E223" s="49">
        <f>IFERROR(INDEX('Content calendar'!$O$7:$O$506,MATCH(222,'Content calendar'!$P$7:$P$506,0))&amp;"","")</f>
        <v/>
      </c>
    </row>
    <row r="224">
      <c r="A224" s="49">
        <f>IFERROR(INDEX('Content calendar'!$H$7:$H$506,MATCH(223,'Content calendar'!$P$7:$P$506,0))&amp;"","")</f>
        <v/>
      </c>
      <c r="B224" s="49">
        <f>IFERROR(YEAR(INDEX('Content calendar'!$A$7:$A$506,MATCH(223,'Content calendar'!$P$7:$P$506,0)))&amp;"-"&amp;TEXT(MONTH(INDEX('Content calendar'!$A$7:$A$506,MATCH(223,'Content calendar'!$P$7:$P$506,0))),"00")&amp;"-"&amp;TEXT(DAY(INDEX('Content calendar'!$A$7:$A$506,MATCH(223,'Content calendar'!$P$7:$P$506,0))),"00")&amp;" "&amp;TEXT(HOUR(INDEX('Content calendar'!$B$7:$B$506,MATCH(223,'Content calendar'!$P$7:$P$506,0))),"00")&amp;":"&amp;TEXT(MINUTE(INDEX('Content calendar'!$B$7:$B$506,MATCH(223,'Content calendar'!$P$7:$P$506,0))),"00"),"")</f>
        <v/>
      </c>
      <c r="C224" s="49">
        <f>IFERROR(INDEX('Content calendar'!$K$7:$K$506,MATCH(223,'Content calendar'!$P$7:$P$506,0))&amp;"","")</f>
        <v/>
      </c>
      <c r="D224" s="49">
        <f>IFERROR(INDEX('Content calendar'!$L$7:$L$506,MATCH(223,'Content calendar'!$P$7:$P$506,0))&amp;"","")</f>
        <v/>
      </c>
      <c r="E224" s="49">
        <f>IFERROR(INDEX('Content calendar'!$O$7:$O$506,MATCH(223,'Content calendar'!$P$7:$P$506,0))&amp;"","")</f>
        <v/>
      </c>
    </row>
    <row r="225">
      <c r="A225" s="49">
        <f>IFERROR(INDEX('Content calendar'!$H$7:$H$506,MATCH(224,'Content calendar'!$P$7:$P$506,0))&amp;"","")</f>
        <v/>
      </c>
      <c r="B225" s="49">
        <f>IFERROR(YEAR(INDEX('Content calendar'!$A$7:$A$506,MATCH(224,'Content calendar'!$P$7:$P$506,0)))&amp;"-"&amp;TEXT(MONTH(INDEX('Content calendar'!$A$7:$A$506,MATCH(224,'Content calendar'!$P$7:$P$506,0))),"00")&amp;"-"&amp;TEXT(DAY(INDEX('Content calendar'!$A$7:$A$506,MATCH(224,'Content calendar'!$P$7:$P$506,0))),"00")&amp;" "&amp;TEXT(HOUR(INDEX('Content calendar'!$B$7:$B$506,MATCH(224,'Content calendar'!$P$7:$P$506,0))),"00")&amp;":"&amp;TEXT(MINUTE(INDEX('Content calendar'!$B$7:$B$506,MATCH(224,'Content calendar'!$P$7:$P$506,0))),"00"),"")</f>
        <v/>
      </c>
      <c r="C225" s="49">
        <f>IFERROR(INDEX('Content calendar'!$K$7:$K$506,MATCH(224,'Content calendar'!$P$7:$P$506,0))&amp;"","")</f>
        <v/>
      </c>
      <c r="D225" s="49">
        <f>IFERROR(INDEX('Content calendar'!$L$7:$L$506,MATCH(224,'Content calendar'!$P$7:$P$506,0))&amp;"","")</f>
        <v/>
      </c>
      <c r="E225" s="49">
        <f>IFERROR(INDEX('Content calendar'!$O$7:$O$506,MATCH(224,'Content calendar'!$P$7:$P$506,0))&amp;"","")</f>
        <v/>
      </c>
    </row>
    <row r="226">
      <c r="A226" s="49">
        <f>IFERROR(INDEX('Content calendar'!$H$7:$H$506,MATCH(225,'Content calendar'!$P$7:$P$506,0))&amp;"","")</f>
        <v/>
      </c>
      <c r="B226" s="49">
        <f>IFERROR(YEAR(INDEX('Content calendar'!$A$7:$A$506,MATCH(225,'Content calendar'!$P$7:$P$506,0)))&amp;"-"&amp;TEXT(MONTH(INDEX('Content calendar'!$A$7:$A$506,MATCH(225,'Content calendar'!$P$7:$P$506,0))),"00")&amp;"-"&amp;TEXT(DAY(INDEX('Content calendar'!$A$7:$A$506,MATCH(225,'Content calendar'!$P$7:$P$506,0))),"00")&amp;" "&amp;TEXT(HOUR(INDEX('Content calendar'!$B$7:$B$506,MATCH(225,'Content calendar'!$P$7:$P$506,0))),"00")&amp;":"&amp;TEXT(MINUTE(INDEX('Content calendar'!$B$7:$B$506,MATCH(225,'Content calendar'!$P$7:$P$506,0))),"00"),"")</f>
        <v/>
      </c>
      <c r="C226" s="49">
        <f>IFERROR(INDEX('Content calendar'!$K$7:$K$506,MATCH(225,'Content calendar'!$P$7:$P$506,0))&amp;"","")</f>
        <v/>
      </c>
      <c r="D226" s="49">
        <f>IFERROR(INDEX('Content calendar'!$L$7:$L$506,MATCH(225,'Content calendar'!$P$7:$P$506,0))&amp;"","")</f>
        <v/>
      </c>
      <c r="E226" s="49">
        <f>IFERROR(INDEX('Content calendar'!$O$7:$O$506,MATCH(225,'Content calendar'!$P$7:$P$506,0))&amp;"","")</f>
        <v/>
      </c>
    </row>
    <row r="227">
      <c r="A227" s="49">
        <f>IFERROR(INDEX('Content calendar'!$H$7:$H$506,MATCH(226,'Content calendar'!$P$7:$P$506,0))&amp;"","")</f>
        <v/>
      </c>
      <c r="B227" s="49">
        <f>IFERROR(YEAR(INDEX('Content calendar'!$A$7:$A$506,MATCH(226,'Content calendar'!$P$7:$P$506,0)))&amp;"-"&amp;TEXT(MONTH(INDEX('Content calendar'!$A$7:$A$506,MATCH(226,'Content calendar'!$P$7:$P$506,0))),"00")&amp;"-"&amp;TEXT(DAY(INDEX('Content calendar'!$A$7:$A$506,MATCH(226,'Content calendar'!$P$7:$P$506,0))),"00")&amp;" "&amp;TEXT(HOUR(INDEX('Content calendar'!$B$7:$B$506,MATCH(226,'Content calendar'!$P$7:$P$506,0))),"00")&amp;":"&amp;TEXT(MINUTE(INDEX('Content calendar'!$B$7:$B$506,MATCH(226,'Content calendar'!$P$7:$P$506,0))),"00"),"")</f>
        <v/>
      </c>
      <c r="C227" s="49">
        <f>IFERROR(INDEX('Content calendar'!$K$7:$K$506,MATCH(226,'Content calendar'!$P$7:$P$506,0))&amp;"","")</f>
        <v/>
      </c>
      <c r="D227" s="49">
        <f>IFERROR(INDEX('Content calendar'!$L$7:$L$506,MATCH(226,'Content calendar'!$P$7:$P$506,0))&amp;"","")</f>
        <v/>
      </c>
      <c r="E227" s="49">
        <f>IFERROR(INDEX('Content calendar'!$O$7:$O$506,MATCH(226,'Content calendar'!$P$7:$P$506,0))&amp;"","")</f>
        <v/>
      </c>
    </row>
    <row r="228">
      <c r="A228" s="49">
        <f>IFERROR(INDEX('Content calendar'!$H$7:$H$506,MATCH(227,'Content calendar'!$P$7:$P$506,0))&amp;"","")</f>
        <v/>
      </c>
      <c r="B228" s="49">
        <f>IFERROR(YEAR(INDEX('Content calendar'!$A$7:$A$506,MATCH(227,'Content calendar'!$P$7:$P$506,0)))&amp;"-"&amp;TEXT(MONTH(INDEX('Content calendar'!$A$7:$A$506,MATCH(227,'Content calendar'!$P$7:$P$506,0))),"00")&amp;"-"&amp;TEXT(DAY(INDEX('Content calendar'!$A$7:$A$506,MATCH(227,'Content calendar'!$P$7:$P$506,0))),"00")&amp;" "&amp;TEXT(HOUR(INDEX('Content calendar'!$B$7:$B$506,MATCH(227,'Content calendar'!$P$7:$P$506,0))),"00")&amp;":"&amp;TEXT(MINUTE(INDEX('Content calendar'!$B$7:$B$506,MATCH(227,'Content calendar'!$P$7:$P$506,0))),"00"),"")</f>
        <v/>
      </c>
      <c r="C228" s="49">
        <f>IFERROR(INDEX('Content calendar'!$K$7:$K$506,MATCH(227,'Content calendar'!$P$7:$P$506,0))&amp;"","")</f>
        <v/>
      </c>
      <c r="D228" s="49">
        <f>IFERROR(INDEX('Content calendar'!$L$7:$L$506,MATCH(227,'Content calendar'!$P$7:$P$506,0))&amp;"","")</f>
        <v/>
      </c>
      <c r="E228" s="49">
        <f>IFERROR(INDEX('Content calendar'!$O$7:$O$506,MATCH(227,'Content calendar'!$P$7:$P$506,0))&amp;"","")</f>
        <v/>
      </c>
    </row>
    <row r="229">
      <c r="A229" s="49">
        <f>IFERROR(INDEX('Content calendar'!$H$7:$H$506,MATCH(228,'Content calendar'!$P$7:$P$506,0))&amp;"","")</f>
        <v/>
      </c>
      <c r="B229" s="49">
        <f>IFERROR(YEAR(INDEX('Content calendar'!$A$7:$A$506,MATCH(228,'Content calendar'!$P$7:$P$506,0)))&amp;"-"&amp;TEXT(MONTH(INDEX('Content calendar'!$A$7:$A$506,MATCH(228,'Content calendar'!$P$7:$P$506,0))),"00")&amp;"-"&amp;TEXT(DAY(INDEX('Content calendar'!$A$7:$A$506,MATCH(228,'Content calendar'!$P$7:$P$506,0))),"00")&amp;" "&amp;TEXT(HOUR(INDEX('Content calendar'!$B$7:$B$506,MATCH(228,'Content calendar'!$P$7:$P$506,0))),"00")&amp;":"&amp;TEXT(MINUTE(INDEX('Content calendar'!$B$7:$B$506,MATCH(228,'Content calendar'!$P$7:$P$506,0))),"00"),"")</f>
        <v/>
      </c>
      <c r="C229" s="49">
        <f>IFERROR(INDEX('Content calendar'!$K$7:$K$506,MATCH(228,'Content calendar'!$P$7:$P$506,0))&amp;"","")</f>
        <v/>
      </c>
      <c r="D229" s="49">
        <f>IFERROR(INDEX('Content calendar'!$L$7:$L$506,MATCH(228,'Content calendar'!$P$7:$P$506,0))&amp;"","")</f>
        <v/>
      </c>
      <c r="E229" s="49">
        <f>IFERROR(INDEX('Content calendar'!$O$7:$O$506,MATCH(228,'Content calendar'!$P$7:$P$506,0))&amp;"","")</f>
        <v/>
      </c>
    </row>
    <row r="230">
      <c r="A230" s="49">
        <f>IFERROR(INDEX('Content calendar'!$H$7:$H$506,MATCH(229,'Content calendar'!$P$7:$P$506,0))&amp;"","")</f>
        <v/>
      </c>
      <c r="B230" s="49">
        <f>IFERROR(YEAR(INDEX('Content calendar'!$A$7:$A$506,MATCH(229,'Content calendar'!$P$7:$P$506,0)))&amp;"-"&amp;TEXT(MONTH(INDEX('Content calendar'!$A$7:$A$506,MATCH(229,'Content calendar'!$P$7:$P$506,0))),"00")&amp;"-"&amp;TEXT(DAY(INDEX('Content calendar'!$A$7:$A$506,MATCH(229,'Content calendar'!$P$7:$P$506,0))),"00")&amp;" "&amp;TEXT(HOUR(INDEX('Content calendar'!$B$7:$B$506,MATCH(229,'Content calendar'!$P$7:$P$506,0))),"00")&amp;":"&amp;TEXT(MINUTE(INDEX('Content calendar'!$B$7:$B$506,MATCH(229,'Content calendar'!$P$7:$P$506,0))),"00"),"")</f>
        <v/>
      </c>
      <c r="C230" s="49">
        <f>IFERROR(INDEX('Content calendar'!$K$7:$K$506,MATCH(229,'Content calendar'!$P$7:$P$506,0))&amp;"","")</f>
        <v/>
      </c>
      <c r="D230" s="49">
        <f>IFERROR(INDEX('Content calendar'!$L$7:$L$506,MATCH(229,'Content calendar'!$P$7:$P$506,0))&amp;"","")</f>
        <v/>
      </c>
      <c r="E230" s="49">
        <f>IFERROR(INDEX('Content calendar'!$O$7:$O$506,MATCH(229,'Content calendar'!$P$7:$P$506,0))&amp;"","")</f>
        <v/>
      </c>
    </row>
    <row r="231">
      <c r="A231" s="49">
        <f>IFERROR(INDEX('Content calendar'!$H$7:$H$506,MATCH(230,'Content calendar'!$P$7:$P$506,0))&amp;"","")</f>
        <v/>
      </c>
      <c r="B231" s="49">
        <f>IFERROR(YEAR(INDEX('Content calendar'!$A$7:$A$506,MATCH(230,'Content calendar'!$P$7:$P$506,0)))&amp;"-"&amp;TEXT(MONTH(INDEX('Content calendar'!$A$7:$A$506,MATCH(230,'Content calendar'!$P$7:$P$506,0))),"00")&amp;"-"&amp;TEXT(DAY(INDEX('Content calendar'!$A$7:$A$506,MATCH(230,'Content calendar'!$P$7:$P$506,0))),"00")&amp;" "&amp;TEXT(HOUR(INDEX('Content calendar'!$B$7:$B$506,MATCH(230,'Content calendar'!$P$7:$P$506,0))),"00")&amp;":"&amp;TEXT(MINUTE(INDEX('Content calendar'!$B$7:$B$506,MATCH(230,'Content calendar'!$P$7:$P$506,0))),"00"),"")</f>
        <v/>
      </c>
      <c r="C231" s="49">
        <f>IFERROR(INDEX('Content calendar'!$K$7:$K$506,MATCH(230,'Content calendar'!$P$7:$P$506,0))&amp;"","")</f>
        <v/>
      </c>
      <c r="D231" s="49">
        <f>IFERROR(INDEX('Content calendar'!$L$7:$L$506,MATCH(230,'Content calendar'!$P$7:$P$506,0))&amp;"","")</f>
        <v/>
      </c>
      <c r="E231" s="49">
        <f>IFERROR(INDEX('Content calendar'!$O$7:$O$506,MATCH(230,'Content calendar'!$P$7:$P$506,0))&amp;"","")</f>
        <v/>
      </c>
    </row>
    <row r="232">
      <c r="A232" s="49">
        <f>IFERROR(INDEX('Content calendar'!$H$7:$H$506,MATCH(231,'Content calendar'!$P$7:$P$506,0))&amp;"","")</f>
        <v/>
      </c>
      <c r="B232" s="49">
        <f>IFERROR(YEAR(INDEX('Content calendar'!$A$7:$A$506,MATCH(231,'Content calendar'!$P$7:$P$506,0)))&amp;"-"&amp;TEXT(MONTH(INDEX('Content calendar'!$A$7:$A$506,MATCH(231,'Content calendar'!$P$7:$P$506,0))),"00")&amp;"-"&amp;TEXT(DAY(INDEX('Content calendar'!$A$7:$A$506,MATCH(231,'Content calendar'!$P$7:$P$506,0))),"00")&amp;" "&amp;TEXT(HOUR(INDEX('Content calendar'!$B$7:$B$506,MATCH(231,'Content calendar'!$P$7:$P$506,0))),"00")&amp;":"&amp;TEXT(MINUTE(INDEX('Content calendar'!$B$7:$B$506,MATCH(231,'Content calendar'!$P$7:$P$506,0))),"00"),"")</f>
        <v/>
      </c>
      <c r="C232" s="49">
        <f>IFERROR(INDEX('Content calendar'!$K$7:$K$506,MATCH(231,'Content calendar'!$P$7:$P$506,0))&amp;"","")</f>
        <v/>
      </c>
      <c r="D232" s="49">
        <f>IFERROR(INDEX('Content calendar'!$L$7:$L$506,MATCH(231,'Content calendar'!$P$7:$P$506,0))&amp;"","")</f>
        <v/>
      </c>
      <c r="E232" s="49">
        <f>IFERROR(INDEX('Content calendar'!$O$7:$O$506,MATCH(231,'Content calendar'!$P$7:$P$506,0))&amp;"","")</f>
        <v/>
      </c>
    </row>
    <row r="233">
      <c r="A233" s="49">
        <f>IFERROR(INDEX('Content calendar'!$H$7:$H$506,MATCH(232,'Content calendar'!$P$7:$P$506,0))&amp;"","")</f>
        <v/>
      </c>
      <c r="B233" s="49">
        <f>IFERROR(YEAR(INDEX('Content calendar'!$A$7:$A$506,MATCH(232,'Content calendar'!$P$7:$P$506,0)))&amp;"-"&amp;TEXT(MONTH(INDEX('Content calendar'!$A$7:$A$506,MATCH(232,'Content calendar'!$P$7:$P$506,0))),"00")&amp;"-"&amp;TEXT(DAY(INDEX('Content calendar'!$A$7:$A$506,MATCH(232,'Content calendar'!$P$7:$P$506,0))),"00")&amp;" "&amp;TEXT(HOUR(INDEX('Content calendar'!$B$7:$B$506,MATCH(232,'Content calendar'!$P$7:$P$506,0))),"00")&amp;":"&amp;TEXT(MINUTE(INDEX('Content calendar'!$B$7:$B$506,MATCH(232,'Content calendar'!$P$7:$P$506,0))),"00"),"")</f>
        <v/>
      </c>
      <c r="C233" s="49">
        <f>IFERROR(INDEX('Content calendar'!$K$7:$K$506,MATCH(232,'Content calendar'!$P$7:$P$506,0))&amp;"","")</f>
        <v/>
      </c>
      <c r="D233" s="49">
        <f>IFERROR(INDEX('Content calendar'!$L$7:$L$506,MATCH(232,'Content calendar'!$P$7:$P$506,0))&amp;"","")</f>
        <v/>
      </c>
      <c r="E233" s="49">
        <f>IFERROR(INDEX('Content calendar'!$O$7:$O$506,MATCH(232,'Content calendar'!$P$7:$P$506,0))&amp;"","")</f>
        <v/>
      </c>
    </row>
    <row r="234">
      <c r="A234" s="49">
        <f>IFERROR(INDEX('Content calendar'!$H$7:$H$506,MATCH(233,'Content calendar'!$P$7:$P$506,0))&amp;"","")</f>
        <v/>
      </c>
      <c r="B234" s="49">
        <f>IFERROR(YEAR(INDEX('Content calendar'!$A$7:$A$506,MATCH(233,'Content calendar'!$P$7:$P$506,0)))&amp;"-"&amp;TEXT(MONTH(INDEX('Content calendar'!$A$7:$A$506,MATCH(233,'Content calendar'!$P$7:$P$506,0))),"00")&amp;"-"&amp;TEXT(DAY(INDEX('Content calendar'!$A$7:$A$506,MATCH(233,'Content calendar'!$P$7:$P$506,0))),"00")&amp;" "&amp;TEXT(HOUR(INDEX('Content calendar'!$B$7:$B$506,MATCH(233,'Content calendar'!$P$7:$P$506,0))),"00")&amp;":"&amp;TEXT(MINUTE(INDEX('Content calendar'!$B$7:$B$506,MATCH(233,'Content calendar'!$P$7:$P$506,0))),"00"),"")</f>
        <v/>
      </c>
      <c r="C234" s="49">
        <f>IFERROR(INDEX('Content calendar'!$K$7:$K$506,MATCH(233,'Content calendar'!$P$7:$P$506,0))&amp;"","")</f>
        <v/>
      </c>
      <c r="D234" s="49">
        <f>IFERROR(INDEX('Content calendar'!$L$7:$L$506,MATCH(233,'Content calendar'!$P$7:$P$506,0))&amp;"","")</f>
        <v/>
      </c>
      <c r="E234" s="49">
        <f>IFERROR(INDEX('Content calendar'!$O$7:$O$506,MATCH(233,'Content calendar'!$P$7:$P$506,0))&amp;"","")</f>
        <v/>
      </c>
    </row>
    <row r="235">
      <c r="A235" s="49">
        <f>IFERROR(INDEX('Content calendar'!$H$7:$H$506,MATCH(234,'Content calendar'!$P$7:$P$506,0))&amp;"","")</f>
        <v/>
      </c>
      <c r="B235" s="49">
        <f>IFERROR(YEAR(INDEX('Content calendar'!$A$7:$A$506,MATCH(234,'Content calendar'!$P$7:$P$506,0)))&amp;"-"&amp;TEXT(MONTH(INDEX('Content calendar'!$A$7:$A$506,MATCH(234,'Content calendar'!$P$7:$P$506,0))),"00")&amp;"-"&amp;TEXT(DAY(INDEX('Content calendar'!$A$7:$A$506,MATCH(234,'Content calendar'!$P$7:$P$506,0))),"00")&amp;" "&amp;TEXT(HOUR(INDEX('Content calendar'!$B$7:$B$506,MATCH(234,'Content calendar'!$P$7:$P$506,0))),"00")&amp;":"&amp;TEXT(MINUTE(INDEX('Content calendar'!$B$7:$B$506,MATCH(234,'Content calendar'!$P$7:$P$506,0))),"00"),"")</f>
        <v/>
      </c>
      <c r="C235" s="49">
        <f>IFERROR(INDEX('Content calendar'!$K$7:$K$506,MATCH(234,'Content calendar'!$P$7:$P$506,0))&amp;"","")</f>
        <v/>
      </c>
      <c r="D235" s="49">
        <f>IFERROR(INDEX('Content calendar'!$L$7:$L$506,MATCH(234,'Content calendar'!$P$7:$P$506,0))&amp;"","")</f>
        <v/>
      </c>
      <c r="E235" s="49">
        <f>IFERROR(INDEX('Content calendar'!$O$7:$O$506,MATCH(234,'Content calendar'!$P$7:$P$506,0))&amp;"","")</f>
        <v/>
      </c>
    </row>
    <row r="236">
      <c r="A236" s="49">
        <f>IFERROR(INDEX('Content calendar'!$H$7:$H$506,MATCH(235,'Content calendar'!$P$7:$P$506,0))&amp;"","")</f>
        <v/>
      </c>
      <c r="B236" s="49">
        <f>IFERROR(YEAR(INDEX('Content calendar'!$A$7:$A$506,MATCH(235,'Content calendar'!$P$7:$P$506,0)))&amp;"-"&amp;TEXT(MONTH(INDEX('Content calendar'!$A$7:$A$506,MATCH(235,'Content calendar'!$P$7:$P$506,0))),"00")&amp;"-"&amp;TEXT(DAY(INDEX('Content calendar'!$A$7:$A$506,MATCH(235,'Content calendar'!$P$7:$P$506,0))),"00")&amp;" "&amp;TEXT(HOUR(INDEX('Content calendar'!$B$7:$B$506,MATCH(235,'Content calendar'!$P$7:$P$506,0))),"00")&amp;":"&amp;TEXT(MINUTE(INDEX('Content calendar'!$B$7:$B$506,MATCH(235,'Content calendar'!$P$7:$P$506,0))),"00"),"")</f>
        <v/>
      </c>
      <c r="C236" s="49">
        <f>IFERROR(INDEX('Content calendar'!$K$7:$K$506,MATCH(235,'Content calendar'!$P$7:$P$506,0))&amp;"","")</f>
        <v/>
      </c>
      <c r="D236" s="49">
        <f>IFERROR(INDEX('Content calendar'!$L$7:$L$506,MATCH(235,'Content calendar'!$P$7:$P$506,0))&amp;"","")</f>
        <v/>
      </c>
      <c r="E236" s="49">
        <f>IFERROR(INDEX('Content calendar'!$O$7:$O$506,MATCH(235,'Content calendar'!$P$7:$P$506,0))&amp;"","")</f>
        <v/>
      </c>
    </row>
    <row r="237">
      <c r="A237" s="49">
        <f>IFERROR(INDEX('Content calendar'!$H$7:$H$506,MATCH(236,'Content calendar'!$P$7:$P$506,0))&amp;"","")</f>
        <v/>
      </c>
      <c r="B237" s="49">
        <f>IFERROR(YEAR(INDEX('Content calendar'!$A$7:$A$506,MATCH(236,'Content calendar'!$P$7:$P$506,0)))&amp;"-"&amp;TEXT(MONTH(INDEX('Content calendar'!$A$7:$A$506,MATCH(236,'Content calendar'!$P$7:$P$506,0))),"00")&amp;"-"&amp;TEXT(DAY(INDEX('Content calendar'!$A$7:$A$506,MATCH(236,'Content calendar'!$P$7:$P$506,0))),"00")&amp;" "&amp;TEXT(HOUR(INDEX('Content calendar'!$B$7:$B$506,MATCH(236,'Content calendar'!$P$7:$P$506,0))),"00")&amp;":"&amp;TEXT(MINUTE(INDEX('Content calendar'!$B$7:$B$506,MATCH(236,'Content calendar'!$P$7:$P$506,0))),"00"),"")</f>
        <v/>
      </c>
      <c r="C237" s="49">
        <f>IFERROR(INDEX('Content calendar'!$K$7:$K$506,MATCH(236,'Content calendar'!$P$7:$P$506,0))&amp;"","")</f>
        <v/>
      </c>
      <c r="D237" s="49">
        <f>IFERROR(INDEX('Content calendar'!$L$7:$L$506,MATCH(236,'Content calendar'!$P$7:$P$506,0))&amp;"","")</f>
        <v/>
      </c>
      <c r="E237" s="49">
        <f>IFERROR(INDEX('Content calendar'!$O$7:$O$506,MATCH(236,'Content calendar'!$P$7:$P$506,0))&amp;"","")</f>
        <v/>
      </c>
    </row>
    <row r="238">
      <c r="A238" s="49">
        <f>IFERROR(INDEX('Content calendar'!$H$7:$H$506,MATCH(237,'Content calendar'!$P$7:$P$506,0))&amp;"","")</f>
        <v/>
      </c>
      <c r="B238" s="49">
        <f>IFERROR(YEAR(INDEX('Content calendar'!$A$7:$A$506,MATCH(237,'Content calendar'!$P$7:$P$506,0)))&amp;"-"&amp;TEXT(MONTH(INDEX('Content calendar'!$A$7:$A$506,MATCH(237,'Content calendar'!$P$7:$P$506,0))),"00")&amp;"-"&amp;TEXT(DAY(INDEX('Content calendar'!$A$7:$A$506,MATCH(237,'Content calendar'!$P$7:$P$506,0))),"00")&amp;" "&amp;TEXT(HOUR(INDEX('Content calendar'!$B$7:$B$506,MATCH(237,'Content calendar'!$P$7:$P$506,0))),"00")&amp;":"&amp;TEXT(MINUTE(INDEX('Content calendar'!$B$7:$B$506,MATCH(237,'Content calendar'!$P$7:$P$506,0))),"00"),"")</f>
        <v/>
      </c>
      <c r="C238" s="49">
        <f>IFERROR(INDEX('Content calendar'!$K$7:$K$506,MATCH(237,'Content calendar'!$P$7:$P$506,0))&amp;"","")</f>
        <v/>
      </c>
      <c r="D238" s="49">
        <f>IFERROR(INDEX('Content calendar'!$L$7:$L$506,MATCH(237,'Content calendar'!$P$7:$P$506,0))&amp;"","")</f>
        <v/>
      </c>
      <c r="E238" s="49">
        <f>IFERROR(INDEX('Content calendar'!$O$7:$O$506,MATCH(237,'Content calendar'!$P$7:$P$506,0))&amp;"","")</f>
        <v/>
      </c>
    </row>
    <row r="239">
      <c r="A239" s="49">
        <f>IFERROR(INDEX('Content calendar'!$H$7:$H$506,MATCH(238,'Content calendar'!$P$7:$P$506,0))&amp;"","")</f>
        <v/>
      </c>
      <c r="B239" s="49">
        <f>IFERROR(YEAR(INDEX('Content calendar'!$A$7:$A$506,MATCH(238,'Content calendar'!$P$7:$P$506,0)))&amp;"-"&amp;TEXT(MONTH(INDEX('Content calendar'!$A$7:$A$506,MATCH(238,'Content calendar'!$P$7:$P$506,0))),"00")&amp;"-"&amp;TEXT(DAY(INDEX('Content calendar'!$A$7:$A$506,MATCH(238,'Content calendar'!$P$7:$P$506,0))),"00")&amp;" "&amp;TEXT(HOUR(INDEX('Content calendar'!$B$7:$B$506,MATCH(238,'Content calendar'!$P$7:$P$506,0))),"00")&amp;":"&amp;TEXT(MINUTE(INDEX('Content calendar'!$B$7:$B$506,MATCH(238,'Content calendar'!$P$7:$P$506,0))),"00"),"")</f>
        <v/>
      </c>
      <c r="C239" s="49">
        <f>IFERROR(INDEX('Content calendar'!$K$7:$K$506,MATCH(238,'Content calendar'!$P$7:$P$506,0))&amp;"","")</f>
        <v/>
      </c>
      <c r="D239" s="49">
        <f>IFERROR(INDEX('Content calendar'!$L$7:$L$506,MATCH(238,'Content calendar'!$P$7:$P$506,0))&amp;"","")</f>
        <v/>
      </c>
      <c r="E239" s="49">
        <f>IFERROR(INDEX('Content calendar'!$O$7:$O$506,MATCH(238,'Content calendar'!$P$7:$P$506,0))&amp;"","")</f>
        <v/>
      </c>
    </row>
    <row r="240">
      <c r="A240" s="49">
        <f>IFERROR(INDEX('Content calendar'!$H$7:$H$506,MATCH(239,'Content calendar'!$P$7:$P$506,0))&amp;"","")</f>
        <v/>
      </c>
      <c r="B240" s="49">
        <f>IFERROR(YEAR(INDEX('Content calendar'!$A$7:$A$506,MATCH(239,'Content calendar'!$P$7:$P$506,0)))&amp;"-"&amp;TEXT(MONTH(INDEX('Content calendar'!$A$7:$A$506,MATCH(239,'Content calendar'!$P$7:$P$506,0))),"00")&amp;"-"&amp;TEXT(DAY(INDEX('Content calendar'!$A$7:$A$506,MATCH(239,'Content calendar'!$P$7:$P$506,0))),"00")&amp;" "&amp;TEXT(HOUR(INDEX('Content calendar'!$B$7:$B$506,MATCH(239,'Content calendar'!$P$7:$P$506,0))),"00")&amp;":"&amp;TEXT(MINUTE(INDEX('Content calendar'!$B$7:$B$506,MATCH(239,'Content calendar'!$P$7:$P$506,0))),"00"),"")</f>
        <v/>
      </c>
      <c r="C240" s="49">
        <f>IFERROR(INDEX('Content calendar'!$K$7:$K$506,MATCH(239,'Content calendar'!$P$7:$P$506,0))&amp;"","")</f>
        <v/>
      </c>
      <c r="D240" s="49">
        <f>IFERROR(INDEX('Content calendar'!$L$7:$L$506,MATCH(239,'Content calendar'!$P$7:$P$506,0))&amp;"","")</f>
        <v/>
      </c>
      <c r="E240" s="49">
        <f>IFERROR(INDEX('Content calendar'!$O$7:$O$506,MATCH(239,'Content calendar'!$P$7:$P$506,0))&amp;"","")</f>
        <v/>
      </c>
    </row>
    <row r="241">
      <c r="A241" s="49">
        <f>IFERROR(INDEX('Content calendar'!$H$7:$H$506,MATCH(240,'Content calendar'!$P$7:$P$506,0))&amp;"","")</f>
        <v/>
      </c>
      <c r="B241" s="49">
        <f>IFERROR(YEAR(INDEX('Content calendar'!$A$7:$A$506,MATCH(240,'Content calendar'!$P$7:$P$506,0)))&amp;"-"&amp;TEXT(MONTH(INDEX('Content calendar'!$A$7:$A$506,MATCH(240,'Content calendar'!$P$7:$P$506,0))),"00")&amp;"-"&amp;TEXT(DAY(INDEX('Content calendar'!$A$7:$A$506,MATCH(240,'Content calendar'!$P$7:$P$506,0))),"00")&amp;" "&amp;TEXT(HOUR(INDEX('Content calendar'!$B$7:$B$506,MATCH(240,'Content calendar'!$P$7:$P$506,0))),"00")&amp;":"&amp;TEXT(MINUTE(INDEX('Content calendar'!$B$7:$B$506,MATCH(240,'Content calendar'!$P$7:$P$506,0))),"00"),"")</f>
        <v/>
      </c>
      <c r="C241" s="49">
        <f>IFERROR(INDEX('Content calendar'!$K$7:$K$506,MATCH(240,'Content calendar'!$P$7:$P$506,0))&amp;"","")</f>
        <v/>
      </c>
      <c r="D241" s="49">
        <f>IFERROR(INDEX('Content calendar'!$L$7:$L$506,MATCH(240,'Content calendar'!$P$7:$P$506,0))&amp;"","")</f>
        <v/>
      </c>
      <c r="E241" s="49">
        <f>IFERROR(INDEX('Content calendar'!$O$7:$O$506,MATCH(240,'Content calendar'!$P$7:$P$506,0))&amp;"","")</f>
        <v/>
      </c>
    </row>
    <row r="242">
      <c r="A242" s="49">
        <f>IFERROR(INDEX('Content calendar'!$H$7:$H$506,MATCH(241,'Content calendar'!$P$7:$P$506,0))&amp;"","")</f>
        <v/>
      </c>
      <c r="B242" s="49">
        <f>IFERROR(YEAR(INDEX('Content calendar'!$A$7:$A$506,MATCH(241,'Content calendar'!$P$7:$P$506,0)))&amp;"-"&amp;TEXT(MONTH(INDEX('Content calendar'!$A$7:$A$506,MATCH(241,'Content calendar'!$P$7:$P$506,0))),"00")&amp;"-"&amp;TEXT(DAY(INDEX('Content calendar'!$A$7:$A$506,MATCH(241,'Content calendar'!$P$7:$P$506,0))),"00")&amp;" "&amp;TEXT(HOUR(INDEX('Content calendar'!$B$7:$B$506,MATCH(241,'Content calendar'!$P$7:$P$506,0))),"00")&amp;":"&amp;TEXT(MINUTE(INDEX('Content calendar'!$B$7:$B$506,MATCH(241,'Content calendar'!$P$7:$P$506,0))),"00"),"")</f>
        <v/>
      </c>
      <c r="C242" s="49">
        <f>IFERROR(INDEX('Content calendar'!$K$7:$K$506,MATCH(241,'Content calendar'!$P$7:$P$506,0))&amp;"","")</f>
        <v/>
      </c>
      <c r="D242" s="49">
        <f>IFERROR(INDEX('Content calendar'!$L$7:$L$506,MATCH(241,'Content calendar'!$P$7:$P$506,0))&amp;"","")</f>
        <v/>
      </c>
      <c r="E242" s="49">
        <f>IFERROR(INDEX('Content calendar'!$O$7:$O$506,MATCH(241,'Content calendar'!$P$7:$P$506,0))&amp;"","")</f>
        <v/>
      </c>
    </row>
    <row r="243">
      <c r="A243" s="49">
        <f>IFERROR(INDEX('Content calendar'!$H$7:$H$506,MATCH(242,'Content calendar'!$P$7:$P$506,0))&amp;"","")</f>
        <v/>
      </c>
      <c r="B243" s="49">
        <f>IFERROR(YEAR(INDEX('Content calendar'!$A$7:$A$506,MATCH(242,'Content calendar'!$P$7:$P$506,0)))&amp;"-"&amp;TEXT(MONTH(INDEX('Content calendar'!$A$7:$A$506,MATCH(242,'Content calendar'!$P$7:$P$506,0))),"00")&amp;"-"&amp;TEXT(DAY(INDEX('Content calendar'!$A$7:$A$506,MATCH(242,'Content calendar'!$P$7:$P$506,0))),"00")&amp;" "&amp;TEXT(HOUR(INDEX('Content calendar'!$B$7:$B$506,MATCH(242,'Content calendar'!$P$7:$P$506,0))),"00")&amp;":"&amp;TEXT(MINUTE(INDEX('Content calendar'!$B$7:$B$506,MATCH(242,'Content calendar'!$P$7:$P$506,0))),"00"),"")</f>
        <v/>
      </c>
      <c r="C243" s="49">
        <f>IFERROR(INDEX('Content calendar'!$K$7:$K$506,MATCH(242,'Content calendar'!$P$7:$P$506,0))&amp;"","")</f>
        <v/>
      </c>
      <c r="D243" s="49">
        <f>IFERROR(INDEX('Content calendar'!$L$7:$L$506,MATCH(242,'Content calendar'!$P$7:$P$506,0))&amp;"","")</f>
        <v/>
      </c>
      <c r="E243" s="49">
        <f>IFERROR(INDEX('Content calendar'!$O$7:$O$506,MATCH(242,'Content calendar'!$P$7:$P$506,0))&amp;"","")</f>
        <v/>
      </c>
    </row>
    <row r="244">
      <c r="A244" s="49">
        <f>IFERROR(INDEX('Content calendar'!$H$7:$H$506,MATCH(243,'Content calendar'!$P$7:$P$506,0))&amp;"","")</f>
        <v/>
      </c>
      <c r="B244" s="49">
        <f>IFERROR(YEAR(INDEX('Content calendar'!$A$7:$A$506,MATCH(243,'Content calendar'!$P$7:$P$506,0)))&amp;"-"&amp;TEXT(MONTH(INDEX('Content calendar'!$A$7:$A$506,MATCH(243,'Content calendar'!$P$7:$P$506,0))),"00")&amp;"-"&amp;TEXT(DAY(INDEX('Content calendar'!$A$7:$A$506,MATCH(243,'Content calendar'!$P$7:$P$506,0))),"00")&amp;" "&amp;TEXT(HOUR(INDEX('Content calendar'!$B$7:$B$506,MATCH(243,'Content calendar'!$P$7:$P$506,0))),"00")&amp;":"&amp;TEXT(MINUTE(INDEX('Content calendar'!$B$7:$B$506,MATCH(243,'Content calendar'!$P$7:$P$506,0))),"00"),"")</f>
        <v/>
      </c>
      <c r="C244" s="49">
        <f>IFERROR(INDEX('Content calendar'!$K$7:$K$506,MATCH(243,'Content calendar'!$P$7:$P$506,0))&amp;"","")</f>
        <v/>
      </c>
      <c r="D244" s="49">
        <f>IFERROR(INDEX('Content calendar'!$L$7:$L$506,MATCH(243,'Content calendar'!$P$7:$P$506,0))&amp;"","")</f>
        <v/>
      </c>
      <c r="E244" s="49">
        <f>IFERROR(INDEX('Content calendar'!$O$7:$O$506,MATCH(243,'Content calendar'!$P$7:$P$506,0))&amp;"","")</f>
        <v/>
      </c>
    </row>
    <row r="245">
      <c r="A245" s="49">
        <f>IFERROR(INDEX('Content calendar'!$H$7:$H$506,MATCH(244,'Content calendar'!$P$7:$P$506,0))&amp;"","")</f>
        <v/>
      </c>
      <c r="B245" s="49">
        <f>IFERROR(YEAR(INDEX('Content calendar'!$A$7:$A$506,MATCH(244,'Content calendar'!$P$7:$P$506,0)))&amp;"-"&amp;TEXT(MONTH(INDEX('Content calendar'!$A$7:$A$506,MATCH(244,'Content calendar'!$P$7:$P$506,0))),"00")&amp;"-"&amp;TEXT(DAY(INDEX('Content calendar'!$A$7:$A$506,MATCH(244,'Content calendar'!$P$7:$P$506,0))),"00")&amp;" "&amp;TEXT(HOUR(INDEX('Content calendar'!$B$7:$B$506,MATCH(244,'Content calendar'!$P$7:$P$506,0))),"00")&amp;":"&amp;TEXT(MINUTE(INDEX('Content calendar'!$B$7:$B$506,MATCH(244,'Content calendar'!$P$7:$P$506,0))),"00"),"")</f>
        <v/>
      </c>
      <c r="C245" s="49">
        <f>IFERROR(INDEX('Content calendar'!$K$7:$K$506,MATCH(244,'Content calendar'!$P$7:$P$506,0))&amp;"","")</f>
        <v/>
      </c>
      <c r="D245" s="49">
        <f>IFERROR(INDEX('Content calendar'!$L$7:$L$506,MATCH(244,'Content calendar'!$P$7:$P$506,0))&amp;"","")</f>
        <v/>
      </c>
      <c r="E245" s="49">
        <f>IFERROR(INDEX('Content calendar'!$O$7:$O$506,MATCH(244,'Content calendar'!$P$7:$P$506,0))&amp;"","")</f>
        <v/>
      </c>
    </row>
    <row r="246">
      <c r="A246" s="49">
        <f>IFERROR(INDEX('Content calendar'!$H$7:$H$506,MATCH(245,'Content calendar'!$P$7:$P$506,0))&amp;"","")</f>
        <v/>
      </c>
      <c r="B246" s="49">
        <f>IFERROR(YEAR(INDEX('Content calendar'!$A$7:$A$506,MATCH(245,'Content calendar'!$P$7:$P$506,0)))&amp;"-"&amp;TEXT(MONTH(INDEX('Content calendar'!$A$7:$A$506,MATCH(245,'Content calendar'!$P$7:$P$506,0))),"00")&amp;"-"&amp;TEXT(DAY(INDEX('Content calendar'!$A$7:$A$506,MATCH(245,'Content calendar'!$P$7:$P$506,0))),"00")&amp;" "&amp;TEXT(HOUR(INDEX('Content calendar'!$B$7:$B$506,MATCH(245,'Content calendar'!$P$7:$P$506,0))),"00")&amp;":"&amp;TEXT(MINUTE(INDEX('Content calendar'!$B$7:$B$506,MATCH(245,'Content calendar'!$P$7:$P$506,0))),"00"),"")</f>
        <v/>
      </c>
      <c r="C246" s="49">
        <f>IFERROR(INDEX('Content calendar'!$K$7:$K$506,MATCH(245,'Content calendar'!$P$7:$P$506,0))&amp;"","")</f>
        <v/>
      </c>
      <c r="D246" s="49">
        <f>IFERROR(INDEX('Content calendar'!$L$7:$L$506,MATCH(245,'Content calendar'!$P$7:$P$506,0))&amp;"","")</f>
        <v/>
      </c>
      <c r="E246" s="49">
        <f>IFERROR(INDEX('Content calendar'!$O$7:$O$506,MATCH(245,'Content calendar'!$P$7:$P$506,0))&amp;"","")</f>
        <v/>
      </c>
    </row>
    <row r="247">
      <c r="A247" s="49">
        <f>IFERROR(INDEX('Content calendar'!$H$7:$H$506,MATCH(246,'Content calendar'!$P$7:$P$506,0))&amp;"","")</f>
        <v/>
      </c>
      <c r="B247" s="49">
        <f>IFERROR(YEAR(INDEX('Content calendar'!$A$7:$A$506,MATCH(246,'Content calendar'!$P$7:$P$506,0)))&amp;"-"&amp;TEXT(MONTH(INDEX('Content calendar'!$A$7:$A$506,MATCH(246,'Content calendar'!$P$7:$P$506,0))),"00")&amp;"-"&amp;TEXT(DAY(INDEX('Content calendar'!$A$7:$A$506,MATCH(246,'Content calendar'!$P$7:$P$506,0))),"00")&amp;" "&amp;TEXT(HOUR(INDEX('Content calendar'!$B$7:$B$506,MATCH(246,'Content calendar'!$P$7:$P$506,0))),"00")&amp;":"&amp;TEXT(MINUTE(INDEX('Content calendar'!$B$7:$B$506,MATCH(246,'Content calendar'!$P$7:$P$506,0))),"00"),"")</f>
        <v/>
      </c>
      <c r="C247" s="49">
        <f>IFERROR(INDEX('Content calendar'!$K$7:$K$506,MATCH(246,'Content calendar'!$P$7:$P$506,0))&amp;"","")</f>
        <v/>
      </c>
      <c r="D247" s="49">
        <f>IFERROR(INDEX('Content calendar'!$L$7:$L$506,MATCH(246,'Content calendar'!$P$7:$P$506,0))&amp;"","")</f>
        <v/>
      </c>
      <c r="E247" s="49">
        <f>IFERROR(INDEX('Content calendar'!$O$7:$O$506,MATCH(246,'Content calendar'!$P$7:$P$506,0))&amp;"","")</f>
        <v/>
      </c>
    </row>
    <row r="248">
      <c r="A248" s="49">
        <f>IFERROR(INDEX('Content calendar'!$H$7:$H$506,MATCH(247,'Content calendar'!$P$7:$P$506,0))&amp;"","")</f>
        <v/>
      </c>
      <c r="B248" s="49">
        <f>IFERROR(YEAR(INDEX('Content calendar'!$A$7:$A$506,MATCH(247,'Content calendar'!$P$7:$P$506,0)))&amp;"-"&amp;TEXT(MONTH(INDEX('Content calendar'!$A$7:$A$506,MATCH(247,'Content calendar'!$P$7:$P$506,0))),"00")&amp;"-"&amp;TEXT(DAY(INDEX('Content calendar'!$A$7:$A$506,MATCH(247,'Content calendar'!$P$7:$P$506,0))),"00")&amp;" "&amp;TEXT(HOUR(INDEX('Content calendar'!$B$7:$B$506,MATCH(247,'Content calendar'!$P$7:$P$506,0))),"00")&amp;":"&amp;TEXT(MINUTE(INDEX('Content calendar'!$B$7:$B$506,MATCH(247,'Content calendar'!$P$7:$P$506,0))),"00"),"")</f>
        <v/>
      </c>
      <c r="C248" s="49">
        <f>IFERROR(INDEX('Content calendar'!$K$7:$K$506,MATCH(247,'Content calendar'!$P$7:$P$506,0))&amp;"","")</f>
        <v/>
      </c>
      <c r="D248" s="49">
        <f>IFERROR(INDEX('Content calendar'!$L$7:$L$506,MATCH(247,'Content calendar'!$P$7:$P$506,0))&amp;"","")</f>
        <v/>
      </c>
      <c r="E248" s="49">
        <f>IFERROR(INDEX('Content calendar'!$O$7:$O$506,MATCH(247,'Content calendar'!$P$7:$P$506,0))&amp;"","")</f>
        <v/>
      </c>
    </row>
    <row r="249">
      <c r="A249" s="49">
        <f>IFERROR(INDEX('Content calendar'!$H$7:$H$506,MATCH(248,'Content calendar'!$P$7:$P$506,0))&amp;"","")</f>
        <v/>
      </c>
      <c r="B249" s="49">
        <f>IFERROR(YEAR(INDEX('Content calendar'!$A$7:$A$506,MATCH(248,'Content calendar'!$P$7:$P$506,0)))&amp;"-"&amp;TEXT(MONTH(INDEX('Content calendar'!$A$7:$A$506,MATCH(248,'Content calendar'!$P$7:$P$506,0))),"00")&amp;"-"&amp;TEXT(DAY(INDEX('Content calendar'!$A$7:$A$506,MATCH(248,'Content calendar'!$P$7:$P$506,0))),"00")&amp;" "&amp;TEXT(HOUR(INDEX('Content calendar'!$B$7:$B$506,MATCH(248,'Content calendar'!$P$7:$P$506,0))),"00")&amp;":"&amp;TEXT(MINUTE(INDEX('Content calendar'!$B$7:$B$506,MATCH(248,'Content calendar'!$P$7:$P$506,0))),"00"),"")</f>
        <v/>
      </c>
      <c r="C249" s="49">
        <f>IFERROR(INDEX('Content calendar'!$K$7:$K$506,MATCH(248,'Content calendar'!$P$7:$P$506,0))&amp;"","")</f>
        <v/>
      </c>
      <c r="D249" s="49">
        <f>IFERROR(INDEX('Content calendar'!$L$7:$L$506,MATCH(248,'Content calendar'!$P$7:$P$506,0))&amp;"","")</f>
        <v/>
      </c>
      <c r="E249" s="49">
        <f>IFERROR(INDEX('Content calendar'!$O$7:$O$506,MATCH(248,'Content calendar'!$P$7:$P$506,0))&amp;"","")</f>
        <v/>
      </c>
    </row>
    <row r="250">
      <c r="A250" s="49">
        <f>IFERROR(INDEX('Content calendar'!$H$7:$H$506,MATCH(249,'Content calendar'!$P$7:$P$506,0))&amp;"","")</f>
        <v/>
      </c>
      <c r="B250" s="49">
        <f>IFERROR(YEAR(INDEX('Content calendar'!$A$7:$A$506,MATCH(249,'Content calendar'!$P$7:$P$506,0)))&amp;"-"&amp;TEXT(MONTH(INDEX('Content calendar'!$A$7:$A$506,MATCH(249,'Content calendar'!$P$7:$P$506,0))),"00")&amp;"-"&amp;TEXT(DAY(INDEX('Content calendar'!$A$7:$A$506,MATCH(249,'Content calendar'!$P$7:$P$506,0))),"00")&amp;" "&amp;TEXT(HOUR(INDEX('Content calendar'!$B$7:$B$506,MATCH(249,'Content calendar'!$P$7:$P$506,0))),"00")&amp;":"&amp;TEXT(MINUTE(INDEX('Content calendar'!$B$7:$B$506,MATCH(249,'Content calendar'!$P$7:$P$506,0))),"00"),"")</f>
        <v/>
      </c>
      <c r="C250" s="49">
        <f>IFERROR(INDEX('Content calendar'!$K$7:$K$506,MATCH(249,'Content calendar'!$P$7:$P$506,0))&amp;"","")</f>
        <v/>
      </c>
      <c r="D250" s="49">
        <f>IFERROR(INDEX('Content calendar'!$L$7:$L$506,MATCH(249,'Content calendar'!$P$7:$P$506,0))&amp;"","")</f>
        <v/>
      </c>
      <c r="E250" s="49">
        <f>IFERROR(INDEX('Content calendar'!$O$7:$O$506,MATCH(249,'Content calendar'!$P$7:$P$506,0))&amp;"","")</f>
        <v/>
      </c>
    </row>
    <row r="251">
      <c r="A251" s="49">
        <f>IFERROR(INDEX('Content calendar'!$H$7:$H$506,MATCH(250,'Content calendar'!$P$7:$P$506,0))&amp;"","")</f>
        <v/>
      </c>
      <c r="B251" s="49">
        <f>IFERROR(YEAR(INDEX('Content calendar'!$A$7:$A$506,MATCH(250,'Content calendar'!$P$7:$P$506,0)))&amp;"-"&amp;TEXT(MONTH(INDEX('Content calendar'!$A$7:$A$506,MATCH(250,'Content calendar'!$P$7:$P$506,0))),"00")&amp;"-"&amp;TEXT(DAY(INDEX('Content calendar'!$A$7:$A$506,MATCH(250,'Content calendar'!$P$7:$P$506,0))),"00")&amp;" "&amp;TEXT(HOUR(INDEX('Content calendar'!$B$7:$B$506,MATCH(250,'Content calendar'!$P$7:$P$506,0))),"00")&amp;":"&amp;TEXT(MINUTE(INDEX('Content calendar'!$B$7:$B$506,MATCH(250,'Content calendar'!$P$7:$P$506,0))),"00"),"")</f>
        <v/>
      </c>
      <c r="C251" s="49">
        <f>IFERROR(INDEX('Content calendar'!$K$7:$K$506,MATCH(250,'Content calendar'!$P$7:$P$506,0))&amp;"","")</f>
        <v/>
      </c>
      <c r="D251" s="49">
        <f>IFERROR(INDEX('Content calendar'!$L$7:$L$506,MATCH(250,'Content calendar'!$P$7:$P$506,0))&amp;"","")</f>
        <v/>
      </c>
      <c r="E251" s="49">
        <f>IFERROR(INDEX('Content calendar'!$O$7:$O$506,MATCH(250,'Content calendar'!$P$7:$P$506,0))&amp;"","")</f>
        <v/>
      </c>
    </row>
    <row r="252">
      <c r="A252" s="49">
        <f>IFERROR(INDEX('Content calendar'!$H$7:$H$506,MATCH(251,'Content calendar'!$P$7:$P$506,0))&amp;"","")</f>
        <v/>
      </c>
      <c r="B252" s="49">
        <f>IFERROR(YEAR(INDEX('Content calendar'!$A$7:$A$506,MATCH(251,'Content calendar'!$P$7:$P$506,0)))&amp;"-"&amp;TEXT(MONTH(INDEX('Content calendar'!$A$7:$A$506,MATCH(251,'Content calendar'!$P$7:$P$506,0))),"00")&amp;"-"&amp;TEXT(DAY(INDEX('Content calendar'!$A$7:$A$506,MATCH(251,'Content calendar'!$P$7:$P$506,0))),"00")&amp;" "&amp;TEXT(HOUR(INDEX('Content calendar'!$B$7:$B$506,MATCH(251,'Content calendar'!$P$7:$P$506,0))),"00")&amp;":"&amp;TEXT(MINUTE(INDEX('Content calendar'!$B$7:$B$506,MATCH(251,'Content calendar'!$P$7:$P$506,0))),"00"),"")</f>
        <v/>
      </c>
      <c r="C252" s="49">
        <f>IFERROR(INDEX('Content calendar'!$K$7:$K$506,MATCH(251,'Content calendar'!$P$7:$P$506,0))&amp;"","")</f>
        <v/>
      </c>
      <c r="D252" s="49">
        <f>IFERROR(INDEX('Content calendar'!$L$7:$L$506,MATCH(251,'Content calendar'!$P$7:$P$506,0))&amp;"","")</f>
        <v/>
      </c>
      <c r="E252" s="49">
        <f>IFERROR(INDEX('Content calendar'!$O$7:$O$506,MATCH(251,'Content calendar'!$P$7:$P$506,0))&amp;"","")</f>
        <v/>
      </c>
    </row>
    <row r="253">
      <c r="A253" s="49">
        <f>IFERROR(INDEX('Content calendar'!$H$7:$H$506,MATCH(252,'Content calendar'!$P$7:$P$506,0))&amp;"","")</f>
        <v/>
      </c>
      <c r="B253" s="49">
        <f>IFERROR(YEAR(INDEX('Content calendar'!$A$7:$A$506,MATCH(252,'Content calendar'!$P$7:$P$506,0)))&amp;"-"&amp;TEXT(MONTH(INDEX('Content calendar'!$A$7:$A$506,MATCH(252,'Content calendar'!$P$7:$P$506,0))),"00")&amp;"-"&amp;TEXT(DAY(INDEX('Content calendar'!$A$7:$A$506,MATCH(252,'Content calendar'!$P$7:$P$506,0))),"00")&amp;" "&amp;TEXT(HOUR(INDEX('Content calendar'!$B$7:$B$506,MATCH(252,'Content calendar'!$P$7:$P$506,0))),"00")&amp;":"&amp;TEXT(MINUTE(INDEX('Content calendar'!$B$7:$B$506,MATCH(252,'Content calendar'!$P$7:$P$506,0))),"00"),"")</f>
        <v/>
      </c>
      <c r="C253" s="49">
        <f>IFERROR(INDEX('Content calendar'!$K$7:$K$506,MATCH(252,'Content calendar'!$P$7:$P$506,0))&amp;"","")</f>
        <v/>
      </c>
      <c r="D253" s="49">
        <f>IFERROR(INDEX('Content calendar'!$L$7:$L$506,MATCH(252,'Content calendar'!$P$7:$P$506,0))&amp;"","")</f>
        <v/>
      </c>
      <c r="E253" s="49">
        <f>IFERROR(INDEX('Content calendar'!$O$7:$O$506,MATCH(252,'Content calendar'!$P$7:$P$506,0))&amp;"","")</f>
        <v/>
      </c>
    </row>
    <row r="254">
      <c r="A254" s="49">
        <f>IFERROR(INDEX('Content calendar'!$H$7:$H$506,MATCH(253,'Content calendar'!$P$7:$P$506,0))&amp;"","")</f>
        <v/>
      </c>
      <c r="B254" s="49">
        <f>IFERROR(YEAR(INDEX('Content calendar'!$A$7:$A$506,MATCH(253,'Content calendar'!$P$7:$P$506,0)))&amp;"-"&amp;TEXT(MONTH(INDEX('Content calendar'!$A$7:$A$506,MATCH(253,'Content calendar'!$P$7:$P$506,0))),"00")&amp;"-"&amp;TEXT(DAY(INDEX('Content calendar'!$A$7:$A$506,MATCH(253,'Content calendar'!$P$7:$P$506,0))),"00")&amp;" "&amp;TEXT(HOUR(INDEX('Content calendar'!$B$7:$B$506,MATCH(253,'Content calendar'!$P$7:$P$506,0))),"00")&amp;":"&amp;TEXT(MINUTE(INDEX('Content calendar'!$B$7:$B$506,MATCH(253,'Content calendar'!$P$7:$P$506,0))),"00"),"")</f>
        <v/>
      </c>
      <c r="C254" s="49">
        <f>IFERROR(INDEX('Content calendar'!$K$7:$K$506,MATCH(253,'Content calendar'!$P$7:$P$506,0))&amp;"","")</f>
        <v/>
      </c>
      <c r="D254" s="49">
        <f>IFERROR(INDEX('Content calendar'!$L$7:$L$506,MATCH(253,'Content calendar'!$P$7:$P$506,0))&amp;"","")</f>
        <v/>
      </c>
      <c r="E254" s="49">
        <f>IFERROR(INDEX('Content calendar'!$O$7:$O$506,MATCH(253,'Content calendar'!$P$7:$P$506,0))&amp;"","")</f>
        <v/>
      </c>
    </row>
    <row r="255">
      <c r="A255" s="49">
        <f>IFERROR(INDEX('Content calendar'!$H$7:$H$506,MATCH(254,'Content calendar'!$P$7:$P$506,0))&amp;"","")</f>
        <v/>
      </c>
      <c r="B255" s="49">
        <f>IFERROR(YEAR(INDEX('Content calendar'!$A$7:$A$506,MATCH(254,'Content calendar'!$P$7:$P$506,0)))&amp;"-"&amp;TEXT(MONTH(INDEX('Content calendar'!$A$7:$A$506,MATCH(254,'Content calendar'!$P$7:$P$506,0))),"00")&amp;"-"&amp;TEXT(DAY(INDEX('Content calendar'!$A$7:$A$506,MATCH(254,'Content calendar'!$P$7:$P$506,0))),"00")&amp;" "&amp;TEXT(HOUR(INDEX('Content calendar'!$B$7:$B$506,MATCH(254,'Content calendar'!$P$7:$P$506,0))),"00")&amp;":"&amp;TEXT(MINUTE(INDEX('Content calendar'!$B$7:$B$506,MATCH(254,'Content calendar'!$P$7:$P$506,0))),"00"),"")</f>
        <v/>
      </c>
      <c r="C255" s="49">
        <f>IFERROR(INDEX('Content calendar'!$K$7:$K$506,MATCH(254,'Content calendar'!$P$7:$P$506,0))&amp;"","")</f>
        <v/>
      </c>
      <c r="D255" s="49">
        <f>IFERROR(INDEX('Content calendar'!$L$7:$L$506,MATCH(254,'Content calendar'!$P$7:$P$506,0))&amp;"","")</f>
        <v/>
      </c>
      <c r="E255" s="49">
        <f>IFERROR(INDEX('Content calendar'!$O$7:$O$506,MATCH(254,'Content calendar'!$P$7:$P$506,0))&amp;"","")</f>
        <v/>
      </c>
    </row>
    <row r="256">
      <c r="A256" s="49">
        <f>IFERROR(INDEX('Content calendar'!$H$7:$H$506,MATCH(255,'Content calendar'!$P$7:$P$506,0))&amp;"","")</f>
        <v/>
      </c>
      <c r="B256" s="49">
        <f>IFERROR(YEAR(INDEX('Content calendar'!$A$7:$A$506,MATCH(255,'Content calendar'!$P$7:$P$506,0)))&amp;"-"&amp;TEXT(MONTH(INDEX('Content calendar'!$A$7:$A$506,MATCH(255,'Content calendar'!$P$7:$P$506,0))),"00")&amp;"-"&amp;TEXT(DAY(INDEX('Content calendar'!$A$7:$A$506,MATCH(255,'Content calendar'!$P$7:$P$506,0))),"00")&amp;" "&amp;TEXT(HOUR(INDEX('Content calendar'!$B$7:$B$506,MATCH(255,'Content calendar'!$P$7:$P$506,0))),"00")&amp;":"&amp;TEXT(MINUTE(INDEX('Content calendar'!$B$7:$B$506,MATCH(255,'Content calendar'!$P$7:$P$506,0))),"00"),"")</f>
        <v/>
      </c>
      <c r="C256" s="49">
        <f>IFERROR(INDEX('Content calendar'!$K$7:$K$506,MATCH(255,'Content calendar'!$P$7:$P$506,0))&amp;"","")</f>
        <v/>
      </c>
      <c r="D256" s="49">
        <f>IFERROR(INDEX('Content calendar'!$L$7:$L$506,MATCH(255,'Content calendar'!$P$7:$P$506,0))&amp;"","")</f>
        <v/>
      </c>
      <c r="E256" s="49">
        <f>IFERROR(INDEX('Content calendar'!$O$7:$O$506,MATCH(255,'Content calendar'!$P$7:$P$506,0))&amp;"","")</f>
        <v/>
      </c>
    </row>
    <row r="257">
      <c r="A257" s="49">
        <f>IFERROR(INDEX('Content calendar'!$H$7:$H$506,MATCH(256,'Content calendar'!$P$7:$P$506,0))&amp;"","")</f>
        <v/>
      </c>
      <c r="B257" s="49">
        <f>IFERROR(YEAR(INDEX('Content calendar'!$A$7:$A$506,MATCH(256,'Content calendar'!$P$7:$P$506,0)))&amp;"-"&amp;TEXT(MONTH(INDEX('Content calendar'!$A$7:$A$506,MATCH(256,'Content calendar'!$P$7:$P$506,0))),"00")&amp;"-"&amp;TEXT(DAY(INDEX('Content calendar'!$A$7:$A$506,MATCH(256,'Content calendar'!$P$7:$P$506,0))),"00")&amp;" "&amp;TEXT(HOUR(INDEX('Content calendar'!$B$7:$B$506,MATCH(256,'Content calendar'!$P$7:$P$506,0))),"00")&amp;":"&amp;TEXT(MINUTE(INDEX('Content calendar'!$B$7:$B$506,MATCH(256,'Content calendar'!$P$7:$P$506,0))),"00"),"")</f>
        <v/>
      </c>
      <c r="C257" s="49">
        <f>IFERROR(INDEX('Content calendar'!$K$7:$K$506,MATCH(256,'Content calendar'!$P$7:$P$506,0))&amp;"","")</f>
        <v/>
      </c>
      <c r="D257" s="49">
        <f>IFERROR(INDEX('Content calendar'!$L$7:$L$506,MATCH(256,'Content calendar'!$P$7:$P$506,0))&amp;"","")</f>
        <v/>
      </c>
      <c r="E257" s="49">
        <f>IFERROR(INDEX('Content calendar'!$O$7:$O$506,MATCH(256,'Content calendar'!$P$7:$P$506,0))&amp;"","")</f>
        <v/>
      </c>
    </row>
    <row r="258">
      <c r="A258" s="49">
        <f>IFERROR(INDEX('Content calendar'!$H$7:$H$506,MATCH(257,'Content calendar'!$P$7:$P$506,0))&amp;"","")</f>
        <v/>
      </c>
      <c r="B258" s="49">
        <f>IFERROR(YEAR(INDEX('Content calendar'!$A$7:$A$506,MATCH(257,'Content calendar'!$P$7:$P$506,0)))&amp;"-"&amp;TEXT(MONTH(INDEX('Content calendar'!$A$7:$A$506,MATCH(257,'Content calendar'!$P$7:$P$506,0))),"00")&amp;"-"&amp;TEXT(DAY(INDEX('Content calendar'!$A$7:$A$506,MATCH(257,'Content calendar'!$P$7:$P$506,0))),"00")&amp;" "&amp;TEXT(HOUR(INDEX('Content calendar'!$B$7:$B$506,MATCH(257,'Content calendar'!$P$7:$P$506,0))),"00")&amp;":"&amp;TEXT(MINUTE(INDEX('Content calendar'!$B$7:$B$506,MATCH(257,'Content calendar'!$P$7:$P$506,0))),"00"),"")</f>
        <v/>
      </c>
      <c r="C258" s="49">
        <f>IFERROR(INDEX('Content calendar'!$K$7:$K$506,MATCH(257,'Content calendar'!$P$7:$P$506,0))&amp;"","")</f>
        <v/>
      </c>
      <c r="D258" s="49">
        <f>IFERROR(INDEX('Content calendar'!$L$7:$L$506,MATCH(257,'Content calendar'!$P$7:$P$506,0))&amp;"","")</f>
        <v/>
      </c>
      <c r="E258" s="49">
        <f>IFERROR(INDEX('Content calendar'!$O$7:$O$506,MATCH(257,'Content calendar'!$P$7:$P$506,0))&amp;"","")</f>
        <v/>
      </c>
    </row>
    <row r="259">
      <c r="A259" s="49">
        <f>IFERROR(INDEX('Content calendar'!$H$7:$H$506,MATCH(258,'Content calendar'!$P$7:$P$506,0))&amp;"","")</f>
        <v/>
      </c>
      <c r="B259" s="49">
        <f>IFERROR(YEAR(INDEX('Content calendar'!$A$7:$A$506,MATCH(258,'Content calendar'!$P$7:$P$506,0)))&amp;"-"&amp;TEXT(MONTH(INDEX('Content calendar'!$A$7:$A$506,MATCH(258,'Content calendar'!$P$7:$P$506,0))),"00")&amp;"-"&amp;TEXT(DAY(INDEX('Content calendar'!$A$7:$A$506,MATCH(258,'Content calendar'!$P$7:$P$506,0))),"00")&amp;" "&amp;TEXT(HOUR(INDEX('Content calendar'!$B$7:$B$506,MATCH(258,'Content calendar'!$P$7:$P$506,0))),"00")&amp;":"&amp;TEXT(MINUTE(INDEX('Content calendar'!$B$7:$B$506,MATCH(258,'Content calendar'!$P$7:$P$506,0))),"00"),"")</f>
        <v/>
      </c>
      <c r="C259" s="49">
        <f>IFERROR(INDEX('Content calendar'!$K$7:$K$506,MATCH(258,'Content calendar'!$P$7:$P$506,0))&amp;"","")</f>
        <v/>
      </c>
      <c r="D259" s="49">
        <f>IFERROR(INDEX('Content calendar'!$L$7:$L$506,MATCH(258,'Content calendar'!$P$7:$P$506,0))&amp;"","")</f>
        <v/>
      </c>
      <c r="E259" s="49">
        <f>IFERROR(INDEX('Content calendar'!$O$7:$O$506,MATCH(258,'Content calendar'!$P$7:$P$506,0))&amp;"","")</f>
        <v/>
      </c>
    </row>
    <row r="260">
      <c r="A260" s="49">
        <f>IFERROR(INDEX('Content calendar'!$H$7:$H$506,MATCH(259,'Content calendar'!$P$7:$P$506,0))&amp;"","")</f>
        <v/>
      </c>
      <c r="B260" s="49">
        <f>IFERROR(YEAR(INDEX('Content calendar'!$A$7:$A$506,MATCH(259,'Content calendar'!$P$7:$P$506,0)))&amp;"-"&amp;TEXT(MONTH(INDEX('Content calendar'!$A$7:$A$506,MATCH(259,'Content calendar'!$P$7:$P$506,0))),"00")&amp;"-"&amp;TEXT(DAY(INDEX('Content calendar'!$A$7:$A$506,MATCH(259,'Content calendar'!$P$7:$P$506,0))),"00")&amp;" "&amp;TEXT(HOUR(INDEX('Content calendar'!$B$7:$B$506,MATCH(259,'Content calendar'!$P$7:$P$506,0))),"00")&amp;":"&amp;TEXT(MINUTE(INDEX('Content calendar'!$B$7:$B$506,MATCH(259,'Content calendar'!$P$7:$P$506,0))),"00"),"")</f>
        <v/>
      </c>
      <c r="C260" s="49">
        <f>IFERROR(INDEX('Content calendar'!$K$7:$K$506,MATCH(259,'Content calendar'!$P$7:$P$506,0))&amp;"","")</f>
        <v/>
      </c>
      <c r="D260" s="49">
        <f>IFERROR(INDEX('Content calendar'!$L$7:$L$506,MATCH(259,'Content calendar'!$P$7:$P$506,0))&amp;"","")</f>
        <v/>
      </c>
      <c r="E260" s="49">
        <f>IFERROR(INDEX('Content calendar'!$O$7:$O$506,MATCH(259,'Content calendar'!$P$7:$P$506,0))&amp;"","")</f>
        <v/>
      </c>
    </row>
    <row r="261">
      <c r="A261" s="49">
        <f>IFERROR(INDEX('Content calendar'!$H$7:$H$506,MATCH(260,'Content calendar'!$P$7:$P$506,0))&amp;"","")</f>
        <v/>
      </c>
      <c r="B261" s="49">
        <f>IFERROR(YEAR(INDEX('Content calendar'!$A$7:$A$506,MATCH(260,'Content calendar'!$P$7:$P$506,0)))&amp;"-"&amp;TEXT(MONTH(INDEX('Content calendar'!$A$7:$A$506,MATCH(260,'Content calendar'!$P$7:$P$506,0))),"00")&amp;"-"&amp;TEXT(DAY(INDEX('Content calendar'!$A$7:$A$506,MATCH(260,'Content calendar'!$P$7:$P$506,0))),"00")&amp;" "&amp;TEXT(HOUR(INDEX('Content calendar'!$B$7:$B$506,MATCH(260,'Content calendar'!$P$7:$P$506,0))),"00")&amp;":"&amp;TEXT(MINUTE(INDEX('Content calendar'!$B$7:$B$506,MATCH(260,'Content calendar'!$P$7:$P$506,0))),"00"),"")</f>
        <v/>
      </c>
      <c r="C261" s="49">
        <f>IFERROR(INDEX('Content calendar'!$K$7:$K$506,MATCH(260,'Content calendar'!$P$7:$P$506,0))&amp;"","")</f>
        <v/>
      </c>
      <c r="D261" s="49">
        <f>IFERROR(INDEX('Content calendar'!$L$7:$L$506,MATCH(260,'Content calendar'!$P$7:$P$506,0))&amp;"","")</f>
        <v/>
      </c>
      <c r="E261" s="49">
        <f>IFERROR(INDEX('Content calendar'!$O$7:$O$506,MATCH(260,'Content calendar'!$P$7:$P$506,0))&amp;"","")</f>
        <v/>
      </c>
    </row>
    <row r="262">
      <c r="A262" s="49">
        <f>IFERROR(INDEX('Content calendar'!$H$7:$H$506,MATCH(261,'Content calendar'!$P$7:$P$506,0))&amp;"","")</f>
        <v/>
      </c>
      <c r="B262" s="49">
        <f>IFERROR(YEAR(INDEX('Content calendar'!$A$7:$A$506,MATCH(261,'Content calendar'!$P$7:$P$506,0)))&amp;"-"&amp;TEXT(MONTH(INDEX('Content calendar'!$A$7:$A$506,MATCH(261,'Content calendar'!$P$7:$P$506,0))),"00")&amp;"-"&amp;TEXT(DAY(INDEX('Content calendar'!$A$7:$A$506,MATCH(261,'Content calendar'!$P$7:$P$506,0))),"00")&amp;" "&amp;TEXT(HOUR(INDEX('Content calendar'!$B$7:$B$506,MATCH(261,'Content calendar'!$P$7:$P$506,0))),"00")&amp;":"&amp;TEXT(MINUTE(INDEX('Content calendar'!$B$7:$B$506,MATCH(261,'Content calendar'!$P$7:$P$506,0))),"00"),"")</f>
        <v/>
      </c>
      <c r="C262" s="49">
        <f>IFERROR(INDEX('Content calendar'!$K$7:$K$506,MATCH(261,'Content calendar'!$P$7:$P$506,0))&amp;"","")</f>
        <v/>
      </c>
      <c r="D262" s="49">
        <f>IFERROR(INDEX('Content calendar'!$L$7:$L$506,MATCH(261,'Content calendar'!$P$7:$P$506,0))&amp;"","")</f>
        <v/>
      </c>
      <c r="E262" s="49">
        <f>IFERROR(INDEX('Content calendar'!$O$7:$O$506,MATCH(261,'Content calendar'!$P$7:$P$506,0))&amp;"","")</f>
        <v/>
      </c>
    </row>
    <row r="263">
      <c r="A263" s="49">
        <f>IFERROR(INDEX('Content calendar'!$H$7:$H$506,MATCH(262,'Content calendar'!$P$7:$P$506,0))&amp;"","")</f>
        <v/>
      </c>
      <c r="B263" s="49">
        <f>IFERROR(YEAR(INDEX('Content calendar'!$A$7:$A$506,MATCH(262,'Content calendar'!$P$7:$P$506,0)))&amp;"-"&amp;TEXT(MONTH(INDEX('Content calendar'!$A$7:$A$506,MATCH(262,'Content calendar'!$P$7:$P$506,0))),"00")&amp;"-"&amp;TEXT(DAY(INDEX('Content calendar'!$A$7:$A$506,MATCH(262,'Content calendar'!$P$7:$P$506,0))),"00")&amp;" "&amp;TEXT(HOUR(INDEX('Content calendar'!$B$7:$B$506,MATCH(262,'Content calendar'!$P$7:$P$506,0))),"00")&amp;":"&amp;TEXT(MINUTE(INDEX('Content calendar'!$B$7:$B$506,MATCH(262,'Content calendar'!$P$7:$P$506,0))),"00"),"")</f>
        <v/>
      </c>
      <c r="C263" s="49">
        <f>IFERROR(INDEX('Content calendar'!$K$7:$K$506,MATCH(262,'Content calendar'!$P$7:$P$506,0))&amp;"","")</f>
        <v/>
      </c>
      <c r="D263" s="49">
        <f>IFERROR(INDEX('Content calendar'!$L$7:$L$506,MATCH(262,'Content calendar'!$P$7:$P$506,0))&amp;"","")</f>
        <v/>
      </c>
      <c r="E263" s="49">
        <f>IFERROR(INDEX('Content calendar'!$O$7:$O$506,MATCH(262,'Content calendar'!$P$7:$P$506,0))&amp;"","")</f>
        <v/>
      </c>
    </row>
    <row r="264">
      <c r="A264" s="49">
        <f>IFERROR(INDEX('Content calendar'!$H$7:$H$506,MATCH(263,'Content calendar'!$P$7:$P$506,0))&amp;"","")</f>
        <v/>
      </c>
      <c r="B264" s="49">
        <f>IFERROR(YEAR(INDEX('Content calendar'!$A$7:$A$506,MATCH(263,'Content calendar'!$P$7:$P$506,0)))&amp;"-"&amp;TEXT(MONTH(INDEX('Content calendar'!$A$7:$A$506,MATCH(263,'Content calendar'!$P$7:$P$506,0))),"00")&amp;"-"&amp;TEXT(DAY(INDEX('Content calendar'!$A$7:$A$506,MATCH(263,'Content calendar'!$P$7:$P$506,0))),"00")&amp;" "&amp;TEXT(HOUR(INDEX('Content calendar'!$B$7:$B$506,MATCH(263,'Content calendar'!$P$7:$P$506,0))),"00")&amp;":"&amp;TEXT(MINUTE(INDEX('Content calendar'!$B$7:$B$506,MATCH(263,'Content calendar'!$P$7:$P$506,0))),"00"),"")</f>
        <v/>
      </c>
      <c r="C264" s="49">
        <f>IFERROR(INDEX('Content calendar'!$K$7:$K$506,MATCH(263,'Content calendar'!$P$7:$P$506,0))&amp;"","")</f>
        <v/>
      </c>
      <c r="D264" s="49">
        <f>IFERROR(INDEX('Content calendar'!$L$7:$L$506,MATCH(263,'Content calendar'!$P$7:$P$506,0))&amp;"","")</f>
        <v/>
      </c>
      <c r="E264" s="49">
        <f>IFERROR(INDEX('Content calendar'!$O$7:$O$506,MATCH(263,'Content calendar'!$P$7:$P$506,0))&amp;"","")</f>
        <v/>
      </c>
    </row>
    <row r="265">
      <c r="A265" s="49">
        <f>IFERROR(INDEX('Content calendar'!$H$7:$H$506,MATCH(264,'Content calendar'!$P$7:$P$506,0))&amp;"","")</f>
        <v/>
      </c>
      <c r="B265" s="49">
        <f>IFERROR(YEAR(INDEX('Content calendar'!$A$7:$A$506,MATCH(264,'Content calendar'!$P$7:$P$506,0)))&amp;"-"&amp;TEXT(MONTH(INDEX('Content calendar'!$A$7:$A$506,MATCH(264,'Content calendar'!$P$7:$P$506,0))),"00")&amp;"-"&amp;TEXT(DAY(INDEX('Content calendar'!$A$7:$A$506,MATCH(264,'Content calendar'!$P$7:$P$506,0))),"00")&amp;" "&amp;TEXT(HOUR(INDEX('Content calendar'!$B$7:$B$506,MATCH(264,'Content calendar'!$P$7:$P$506,0))),"00")&amp;":"&amp;TEXT(MINUTE(INDEX('Content calendar'!$B$7:$B$506,MATCH(264,'Content calendar'!$P$7:$P$506,0))),"00"),"")</f>
        <v/>
      </c>
      <c r="C265" s="49">
        <f>IFERROR(INDEX('Content calendar'!$K$7:$K$506,MATCH(264,'Content calendar'!$P$7:$P$506,0))&amp;"","")</f>
        <v/>
      </c>
      <c r="D265" s="49">
        <f>IFERROR(INDEX('Content calendar'!$L$7:$L$506,MATCH(264,'Content calendar'!$P$7:$P$506,0))&amp;"","")</f>
        <v/>
      </c>
      <c r="E265" s="49">
        <f>IFERROR(INDEX('Content calendar'!$O$7:$O$506,MATCH(264,'Content calendar'!$P$7:$P$506,0))&amp;"","")</f>
        <v/>
      </c>
    </row>
    <row r="266">
      <c r="A266" s="49">
        <f>IFERROR(INDEX('Content calendar'!$H$7:$H$506,MATCH(265,'Content calendar'!$P$7:$P$506,0))&amp;"","")</f>
        <v/>
      </c>
      <c r="B266" s="49">
        <f>IFERROR(YEAR(INDEX('Content calendar'!$A$7:$A$506,MATCH(265,'Content calendar'!$P$7:$P$506,0)))&amp;"-"&amp;TEXT(MONTH(INDEX('Content calendar'!$A$7:$A$506,MATCH(265,'Content calendar'!$P$7:$P$506,0))),"00")&amp;"-"&amp;TEXT(DAY(INDEX('Content calendar'!$A$7:$A$506,MATCH(265,'Content calendar'!$P$7:$P$506,0))),"00")&amp;" "&amp;TEXT(HOUR(INDEX('Content calendar'!$B$7:$B$506,MATCH(265,'Content calendar'!$P$7:$P$506,0))),"00")&amp;":"&amp;TEXT(MINUTE(INDEX('Content calendar'!$B$7:$B$506,MATCH(265,'Content calendar'!$P$7:$P$506,0))),"00"),"")</f>
        <v/>
      </c>
      <c r="C266" s="49">
        <f>IFERROR(INDEX('Content calendar'!$K$7:$K$506,MATCH(265,'Content calendar'!$P$7:$P$506,0))&amp;"","")</f>
        <v/>
      </c>
      <c r="D266" s="49">
        <f>IFERROR(INDEX('Content calendar'!$L$7:$L$506,MATCH(265,'Content calendar'!$P$7:$P$506,0))&amp;"","")</f>
        <v/>
      </c>
      <c r="E266" s="49">
        <f>IFERROR(INDEX('Content calendar'!$O$7:$O$506,MATCH(265,'Content calendar'!$P$7:$P$506,0))&amp;"","")</f>
        <v/>
      </c>
    </row>
    <row r="267">
      <c r="A267" s="49">
        <f>IFERROR(INDEX('Content calendar'!$H$7:$H$506,MATCH(266,'Content calendar'!$P$7:$P$506,0))&amp;"","")</f>
        <v/>
      </c>
      <c r="B267" s="49">
        <f>IFERROR(YEAR(INDEX('Content calendar'!$A$7:$A$506,MATCH(266,'Content calendar'!$P$7:$P$506,0)))&amp;"-"&amp;TEXT(MONTH(INDEX('Content calendar'!$A$7:$A$506,MATCH(266,'Content calendar'!$P$7:$P$506,0))),"00")&amp;"-"&amp;TEXT(DAY(INDEX('Content calendar'!$A$7:$A$506,MATCH(266,'Content calendar'!$P$7:$P$506,0))),"00")&amp;" "&amp;TEXT(HOUR(INDEX('Content calendar'!$B$7:$B$506,MATCH(266,'Content calendar'!$P$7:$P$506,0))),"00")&amp;":"&amp;TEXT(MINUTE(INDEX('Content calendar'!$B$7:$B$506,MATCH(266,'Content calendar'!$P$7:$P$506,0))),"00"),"")</f>
        <v/>
      </c>
      <c r="C267" s="49">
        <f>IFERROR(INDEX('Content calendar'!$K$7:$K$506,MATCH(266,'Content calendar'!$P$7:$P$506,0))&amp;"","")</f>
        <v/>
      </c>
      <c r="D267" s="49">
        <f>IFERROR(INDEX('Content calendar'!$L$7:$L$506,MATCH(266,'Content calendar'!$P$7:$P$506,0))&amp;"","")</f>
        <v/>
      </c>
      <c r="E267" s="49">
        <f>IFERROR(INDEX('Content calendar'!$O$7:$O$506,MATCH(266,'Content calendar'!$P$7:$P$506,0))&amp;"","")</f>
        <v/>
      </c>
    </row>
    <row r="268">
      <c r="A268" s="49">
        <f>IFERROR(INDEX('Content calendar'!$H$7:$H$506,MATCH(267,'Content calendar'!$P$7:$P$506,0))&amp;"","")</f>
        <v/>
      </c>
      <c r="B268" s="49">
        <f>IFERROR(YEAR(INDEX('Content calendar'!$A$7:$A$506,MATCH(267,'Content calendar'!$P$7:$P$506,0)))&amp;"-"&amp;TEXT(MONTH(INDEX('Content calendar'!$A$7:$A$506,MATCH(267,'Content calendar'!$P$7:$P$506,0))),"00")&amp;"-"&amp;TEXT(DAY(INDEX('Content calendar'!$A$7:$A$506,MATCH(267,'Content calendar'!$P$7:$P$506,0))),"00")&amp;" "&amp;TEXT(HOUR(INDEX('Content calendar'!$B$7:$B$506,MATCH(267,'Content calendar'!$P$7:$P$506,0))),"00")&amp;":"&amp;TEXT(MINUTE(INDEX('Content calendar'!$B$7:$B$506,MATCH(267,'Content calendar'!$P$7:$P$506,0))),"00"),"")</f>
        <v/>
      </c>
      <c r="C268" s="49">
        <f>IFERROR(INDEX('Content calendar'!$K$7:$K$506,MATCH(267,'Content calendar'!$P$7:$P$506,0))&amp;"","")</f>
        <v/>
      </c>
      <c r="D268" s="49">
        <f>IFERROR(INDEX('Content calendar'!$L$7:$L$506,MATCH(267,'Content calendar'!$P$7:$P$506,0))&amp;"","")</f>
        <v/>
      </c>
      <c r="E268" s="49">
        <f>IFERROR(INDEX('Content calendar'!$O$7:$O$506,MATCH(267,'Content calendar'!$P$7:$P$506,0))&amp;"","")</f>
        <v/>
      </c>
    </row>
    <row r="269">
      <c r="A269" s="49">
        <f>IFERROR(INDEX('Content calendar'!$H$7:$H$506,MATCH(268,'Content calendar'!$P$7:$P$506,0))&amp;"","")</f>
        <v/>
      </c>
      <c r="B269" s="49">
        <f>IFERROR(YEAR(INDEX('Content calendar'!$A$7:$A$506,MATCH(268,'Content calendar'!$P$7:$P$506,0)))&amp;"-"&amp;TEXT(MONTH(INDEX('Content calendar'!$A$7:$A$506,MATCH(268,'Content calendar'!$P$7:$P$506,0))),"00")&amp;"-"&amp;TEXT(DAY(INDEX('Content calendar'!$A$7:$A$506,MATCH(268,'Content calendar'!$P$7:$P$506,0))),"00")&amp;" "&amp;TEXT(HOUR(INDEX('Content calendar'!$B$7:$B$506,MATCH(268,'Content calendar'!$P$7:$P$506,0))),"00")&amp;":"&amp;TEXT(MINUTE(INDEX('Content calendar'!$B$7:$B$506,MATCH(268,'Content calendar'!$P$7:$P$506,0))),"00"),"")</f>
        <v/>
      </c>
      <c r="C269" s="49">
        <f>IFERROR(INDEX('Content calendar'!$K$7:$K$506,MATCH(268,'Content calendar'!$P$7:$P$506,0))&amp;"","")</f>
        <v/>
      </c>
      <c r="D269" s="49">
        <f>IFERROR(INDEX('Content calendar'!$L$7:$L$506,MATCH(268,'Content calendar'!$P$7:$P$506,0))&amp;"","")</f>
        <v/>
      </c>
      <c r="E269" s="49">
        <f>IFERROR(INDEX('Content calendar'!$O$7:$O$506,MATCH(268,'Content calendar'!$P$7:$P$506,0))&amp;"","")</f>
        <v/>
      </c>
    </row>
    <row r="270">
      <c r="A270" s="49">
        <f>IFERROR(INDEX('Content calendar'!$H$7:$H$506,MATCH(269,'Content calendar'!$P$7:$P$506,0))&amp;"","")</f>
        <v/>
      </c>
      <c r="B270" s="49">
        <f>IFERROR(YEAR(INDEX('Content calendar'!$A$7:$A$506,MATCH(269,'Content calendar'!$P$7:$P$506,0)))&amp;"-"&amp;TEXT(MONTH(INDEX('Content calendar'!$A$7:$A$506,MATCH(269,'Content calendar'!$P$7:$P$506,0))),"00")&amp;"-"&amp;TEXT(DAY(INDEX('Content calendar'!$A$7:$A$506,MATCH(269,'Content calendar'!$P$7:$P$506,0))),"00")&amp;" "&amp;TEXT(HOUR(INDEX('Content calendar'!$B$7:$B$506,MATCH(269,'Content calendar'!$P$7:$P$506,0))),"00")&amp;":"&amp;TEXT(MINUTE(INDEX('Content calendar'!$B$7:$B$506,MATCH(269,'Content calendar'!$P$7:$P$506,0))),"00"),"")</f>
        <v/>
      </c>
      <c r="C270" s="49">
        <f>IFERROR(INDEX('Content calendar'!$K$7:$K$506,MATCH(269,'Content calendar'!$P$7:$P$506,0))&amp;"","")</f>
        <v/>
      </c>
      <c r="D270" s="49">
        <f>IFERROR(INDEX('Content calendar'!$L$7:$L$506,MATCH(269,'Content calendar'!$P$7:$P$506,0))&amp;"","")</f>
        <v/>
      </c>
      <c r="E270" s="49">
        <f>IFERROR(INDEX('Content calendar'!$O$7:$O$506,MATCH(269,'Content calendar'!$P$7:$P$506,0))&amp;"","")</f>
        <v/>
      </c>
    </row>
    <row r="271">
      <c r="A271" s="49">
        <f>IFERROR(INDEX('Content calendar'!$H$7:$H$506,MATCH(270,'Content calendar'!$P$7:$P$506,0))&amp;"","")</f>
        <v/>
      </c>
      <c r="B271" s="49">
        <f>IFERROR(YEAR(INDEX('Content calendar'!$A$7:$A$506,MATCH(270,'Content calendar'!$P$7:$P$506,0)))&amp;"-"&amp;TEXT(MONTH(INDEX('Content calendar'!$A$7:$A$506,MATCH(270,'Content calendar'!$P$7:$P$506,0))),"00")&amp;"-"&amp;TEXT(DAY(INDEX('Content calendar'!$A$7:$A$506,MATCH(270,'Content calendar'!$P$7:$P$506,0))),"00")&amp;" "&amp;TEXT(HOUR(INDEX('Content calendar'!$B$7:$B$506,MATCH(270,'Content calendar'!$P$7:$P$506,0))),"00")&amp;":"&amp;TEXT(MINUTE(INDEX('Content calendar'!$B$7:$B$506,MATCH(270,'Content calendar'!$P$7:$P$506,0))),"00"),"")</f>
        <v/>
      </c>
      <c r="C271" s="49">
        <f>IFERROR(INDEX('Content calendar'!$K$7:$K$506,MATCH(270,'Content calendar'!$P$7:$P$506,0))&amp;"","")</f>
        <v/>
      </c>
      <c r="D271" s="49">
        <f>IFERROR(INDEX('Content calendar'!$L$7:$L$506,MATCH(270,'Content calendar'!$P$7:$P$506,0))&amp;"","")</f>
        <v/>
      </c>
      <c r="E271" s="49">
        <f>IFERROR(INDEX('Content calendar'!$O$7:$O$506,MATCH(270,'Content calendar'!$P$7:$P$506,0))&amp;"","")</f>
        <v/>
      </c>
    </row>
    <row r="272">
      <c r="A272" s="49">
        <f>IFERROR(INDEX('Content calendar'!$H$7:$H$506,MATCH(271,'Content calendar'!$P$7:$P$506,0))&amp;"","")</f>
        <v/>
      </c>
      <c r="B272" s="49">
        <f>IFERROR(YEAR(INDEX('Content calendar'!$A$7:$A$506,MATCH(271,'Content calendar'!$P$7:$P$506,0)))&amp;"-"&amp;TEXT(MONTH(INDEX('Content calendar'!$A$7:$A$506,MATCH(271,'Content calendar'!$P$7:$P$506,0))),"00")&amp;"-"&amp;TEXT(DAY(INDEX('Content calendar'!$A$7:$A$506,MATCH(271,'Content calendar'!$P$7:$P$506,0))),"00")&amp;" "&amp;TEXT(HOUR(INDEX('Content calendar'!$B$7:$B$506,MATCH(271,'Content calendar'!$P$7:$P$506,0))),"00")&amp;":"&amp;TEXT(MINUTE(INDEX('Content calendar'!$B$7:$B$506,MATCH(271,'Content calendar'!$P$7:$P$506,0))),"00"),"")</f>
        <v/>
      </c>
      <c r="C272" s="49">
        <f>IFERROR(INDEX('Content calendar'!$K$7:$K$506,MATCH(271,'Content calendar'!$P$7:$P$506,0))&amp;"","")</f>
        <v/>
      </c>
      <c r="D272" s="49">
        <f>IFERROR(INDEX('Content calendar'!$L$7:$L$506,MATCH(271,'Content calendar'!$P$7:$P$506,0))&amp;"","")</f>
        <v/>
      </c>
      <c r="E272" s="49">
        <f>IFERROR(INDEX('Content calendar'!$O$7:$O$506,MATCH(271,'Content calendar'!$P$7:$P$506,0))&amp;"","")</f>
        <v/>
      </c>
    </row>
    <row r="273">
      <c r="A273" s="49">
        <f>IFERROR(INDEX('Content calendar'!$H$7:$H$506,MATCH(272,'Content calendar'!$P$7:$P$506,0))&amp;"","")</f>
        <v/>
      </c>
      <c r="B273" s="49">
        <f>IFERROR(YEAR(INDEX('Content calendar'!$A$7:$A$506,MATCH(272,'Content calendar'!$P$7:$P$506,0)))&amp;"-"&amp;TEXT(MONTH(INDEX('Content calendar'!$A$7:$A$506,MATCH(272,'Content calendar'!$P$7:$P$506,0))),"00")&amp;"-"&amp;TEXT(DAY(INDEX('Content calendar'!$A$7:$A$506,MATCH(272,'Content calendar'!$P$7:$P$506,0))),"00")&amp;" "&amp;TEXT(HOUR(INDEX('Content calendar'!$B$7:$B$506,MATCH(272,'Content calendar'!$P$7:$P$506,0))),"00")&amp;":"&amp;TEXT(MINUTE(INDEX('Content calendar'!$B$7:$B$506,MATCH(272,'Content calendar'!$P$7:$P$506,0))),"00"),"")</f>
        <v/>
      </c>
      <c r="C273" s="49">
        <f>IFERROR(INDEX('Content calendar'!$K$7:$K$506,MATCH(272,'Content calendar'!$P$7:$P$506,0))&amp;"","")</f>
        <v/>
      </c>
      <c r="D273" s="49">
        <f>IFERROR(INDEX('Content calendar'!$L$7:$L$506,MATCH(272,'Content calendar'!$P$7:$P$506,0))&amp;"","")</f>
        <v/>
      </c>
      <c r="E273" s="49">
        <f>IFERROR(INDEX('Content calendar'!$O$7:$O$506,MATCH(272,'Content calendar'!$P$7:$P$506,0))&amp;"","")</f>
        <v/>
      </c>
    </row>
    <row r="274">
      <c r="A274" s="49">
        <f>IFERROR(INDEX('Content calendar'!$H$7:$H$506,MATCH(273,'Content calendar'!$P$7:$P$506,0))&amp;"","")</f>
        <v/>
      </c>
      <c r="B274" s="49">
        <f>IFERROR(YEAR(INDEX('Content calendar'!$A$7:$A$506,MATCH(273,'Content calendar'!$P$7:$P$506,0)))&amp;"-"&amp;TEXT(MONTH(INDEX('Content calendar'!$A$7:$A$506,MATCH(273,'Content calendar'!$P$7:$P$506,0))),"00")&amp;"-"&amp;TEXT(DAY(INDEX('Content calendar'!$A$7:$A$506,MATCH(273,'Content calendar'!$P$7:$P$506,0))),"00")&amp;" "&amp;TEXT(HOUR(INDEX('Content calendar'!$B$7:$B$506,MATCH(273,'Content calendar'!$P$7:$P$506,0))),"00")&amp;":"&amp;TEXT(MINUTE(INDEX('Content calendar'!$B$7:$B$506,MATCH(273,'Content calendar'!$P$7:$P$506,0))),"00"),"")</f>
        <v/>
      </c>
      <c r="C274" s="49">
        <f>IFERROR(INDEX('Content calendar'!$K$7:$K$506,MATCH(273,'Content calendar'!$P$7:$P$506,0))&amp;"","")</f>
        <v/>
      </c>
      <c r="D274" s="49">
        <f>IFERROR(INDEX('Content calendar'!$L$7:$L$506,MATCH(273,'Content calendar'!$P$7:$P$506,0))&amp;"","")</f>
        <v/>
      </c>
      <c r="E274" s="49">
        <f>IFERROR(INDEX('Content calendar'!$O$7:$O$506,MATCH(273,'Content calendar'!$P$7:$P$506,0))&amp;"","")</f>
        <v/>
      </c>
    </row>
    <row r="275">
      <c r="A275" s="49">
        <f>IFERROR(INDEX('Content calendar'!$H$7:$H$506,MATCH(274,'Content calendar'!$P$7:$P$506,0))&amp;"","")</f>
        <v/>
      </c>
      <c r="B275" s="49">
        <f>IFERROR(YEAR(INDEX('Content calendar'!$A$7:$A$506,MATCH(274,'Content calendar'!$P$7:$P$506,0)))&amp;"-"&amp;TEXT(MONTH(INDEX('Content calendar'!$A$7:$A$506,MATCH(274,'Content calendar'!$P$7:$P$506,0))),"00")&amp;"-"&amp;TEXT(DAY(INDEX('Content calendar'!$A$7:$A$506,MATCH(274,'Content calendar'!$P$7:$P$506,0))),"00")&amp;" "&amp;TEXT(HOUR(INDEX('Content calendar'!$B$7:$B$506,MATCH(274,'Content calendar'!$P$7:$P$506,0))),"00")&amp;":"&amp;TEXT(MINUTE(INDEX('Content calendar'!$B$7:$B$506,MATCH(274,'Content calendar'!$P$7:$P$506,0))),"00"),"")</f>
        <v/>
      </c>
      <c r="C275" s="49">
        <f>IFERROR(INDEX('Content calendar'!$K$7:$K$506,MATCH(274,'Content calendar'!$P$7:$P$506,0))&amp;"","")</f>
        <v/>
      </c>
      <c r="D275" s="49">
        <f>IFERROR(INDEX('Content calendar'!$L$7:$L$506,MATCH(274,'Content calendar'!$P$7:$P$506,0))&amp;"","")</f>
        <v/>
      </c>
      <c r="E275" s="49">
        <f>IFERROR(INDEX('Content calendar'!$O$7:$O$506,MATCH(274,'Content calendar'!$P$7:$P$506,0))&amp;"","")</f>
        <v/>
      </c>
    </row>
    <row r="276">
      <c r="A276" s="49">
        <f>IFERROR(INDEX('Content calendar'!$H$7:$H$506,MATCH(275,'Content calendar'!$P$7:$P$506,0))&amp;"","")</f>
        <v/>
      </c>
      <c r="B276" s="49">
        <f>IFERROR(YEAR(INDEX('Content calendar'!$A$7:$A$506,MATCH(275,'Content calendar'!$P$7:$P$506,0)))&amp;"-"&amp;TEXT(MONTH(INDEX('Content calendar'!$A$7:$A$506,MATCH(275,'Content calendar'!$P$7:$P$506,0))),"00")&amp;"-"&amp;TEXT(DAY(INDEX('Content calendar'!$A$7:$A$506,MATCH(275,'Content calendar'!$P$7:$P$506,0))),"00")&amp;" "&amp;TEXT(HOUR(INDEX('Content calendar'!$B$7:$B$506,MATCH(275,'Content calendar'!$P$7:$P$506,0))),"00")&amp;":"&amp;TEXT(MINUTE(INDEX('Content calendar'!$B$7:$B$506,MATCH(275,'Content calendar'!$P$7:$P$506,0))),"00"),"")</f>
        <v/>
      </c>
      <c r="C276" s="49">
        <f>IFERROR(INDEX('Content calendar'!$K$7:$K$506,MATCH(275,'Content calendar'!$P$7:$P$506,0))&amp;"","")</f>
        <v/>
      </c>
      <c r="D276" s="49">
        <f>IFERROR(INDEX('Content calendar'!$L$7:$L$506,MATCH(275,'Content calendar'!$P$7:$P$506,0))&amp;"","")</f>
        <v/>
      </c>
      <c r="E276" s="49">
        <f>IFERROR(INDEX('Content calendar'!$O$7:$O$506,MATCH(275,'Content calendar'!$P$7:$P$506,0))&amp;"","")</f>
        <v/>
      </c>
    </row>
    <row r="277">
      <c r="A277" s="49">
        <f>IFERROR(INDEX('Content calendar'!$H$7:$H$506,MATCH(276,'Content calendar'!$P$7:$P$506,0))&amp;"","")</f>
        <v/>
      </c>
      <c r="B277" s="49">
        <f>IFERROR(YEAR(INDEX('Content calendar'!$A$7:$A$506,MATCH(276,'Content calendar'!$P$7:$P$506,0)))&amp;"-"&amp;TEXT(MONTH(INDEX('Content calendar'!$A$7:$A$506,MATCH(276,'Content calendar'!$P$7:$P$506,0))),"00")&amp;"-"&amp;TEXT(DAY(INDEX('Content calendar'!$A$7:$A$506,MATCH(276,'Content calendar'!$P$7:$P$506,0))),"00")&amp;" "&amp;TEXT(HOUR(INDEX('Content calendar'!$B$7:$B$506,MATCH(276,'Content calendar'!$P$7:$P$506,0))),"00")&amp;":"&amp;TEXT(MINUTE(INDEX('Content calendar'!$B$7:$B$506,MATCH(276,'Content calendar'!$P$7:$P$506,0))),"00"),"")</f>
        <v/>
      </c>
      <c r="C277" s="49">
        <f>IFERROR(INDEX('Content calendar'!$K$7:$K$506,MATCH(276,'Content calendar'!$P$7:$P$506,0))&amp;"","")</f>
        <v/>
      </c>
      <c r="D277" s="49">
        <f>IFERROR(INDEX('Content calendar'!$L$7:$L$506,MATCH(276,'Content calendar'!$P$7:$P$506,0))&amp;"","")</f>
        <v/>
      </c>
      <c r="E277" s="49">
        <f>IFERROR(INDEX('Content calendar'!$O$7:$O$506,MATCH(276,'Content calendar'!$P$7:$P$506,0))&amp;"","")</f>
        <v/>
      </c>
    </row>
    <row r="278">
      <c r="A278" s="49">
        <f>IFERROR(INDEX('Content calendar'!$H$7:$H$506,MATCH(277,'Content calendar'!$P$7:$P$506,0))&amp;"","")</f>
        <v/>
      </c>
      <c r="B278" s="49">
        <f>IFERROR(YEAR(INDEX('Content calendar'!$A$7:$A$506,MATCH(277,'Content calendar'!$P$7:$P$506,0)))&amp;"-"&amp;TEXT(MONTH(INDEX('Content calendar'!$A$7:$A$506,MATCH(277,'Content calendar'!$P$7:$P$506,0))),"00")&amp;"-"&amp;TEXT(DAY(INDEX('Content calendar'!$A$7:$A$506,MATCH(277,'Content calendar'!$P$7:$P$506,0))),"00")&amp;" "&amp;TEXT(HOUR(INDEX('Content calendar'!$B$7:$B$506,MATCH(277,'Content calendar'!$P$7:$P$506,0))),"00")&amp;":"&amp;TEXT(MINUTE(INDEX('Content calendar'!$B$7:$B$506,MATCH(277,'Content calendar'!$P$7:$P$506,0))),"00"),"")</f>
        <v/>
      </c>
      <c r="C278" s="49">
        <f>IFERROR(INDEX('Content calendar'!$K$7:$K$506,MATCH(277,'Content calendar'!$P$7:$P$506,0))&amp;"","")</f>
        <v/>
      </c>
      <c r="D278" s="49">
        <f>IFERROR(INDEX('Content calendar'!$L$7:$L$506,MATCH(277,'Content calendar'!$P$7:$P$506,0))&amp;"","")</f>
        <v/>
      </c>
      <c r="E278" s="49">
        <f>IFERROR(INDEX('Content calendar'!$O$7:$O$506,MATCH(277,'Content calendar'!$P$7:$P$506,0))&amp;"","")</f>
        <v/>
      </c>
    </row>
    <row r="279">
      <c r="A279" s="49">
        <f>IFERROR(INDEX('Content calendar'!$H$7:$H$506,MATCH(278,'Content calendar'!$P$7:$P$506,0))&amp;"","")</f>
        <v/>
      </c>
      <c r="B279" s="49">
        <f>IFERROR(YEAR(INDEX('Content calendar'!$A$7:$A$506,MATCH(278,'Content calendar'!$P$7:$P$506,0)))&amp;"-"&amp;TEXT(MONTH(INDEX('Content calendar'!$A$7:$A$506,MATCH(278,'Content calendar'!$P$7:$P$506,0))),"00")&amp;"-"&amp;TEXT(DAY(INDEX('Content calendar'!$A$7:$A$506,MATCH(278,'Content calendar'!$P$7:$P$506,0))),"00")&amp;" "&amp;TEXT(HOUR(INDEX('Content calendar'!$B$7:$B$506,MATCH(278,'Content calendar'!$P$7:$P$506,0))),"00")&amp;":"&amp;TEXT(MINUTE(INDEX('Content calendar'!$B$7:$B$506,MATCH(278,'Content calendar'!$P$7:$P$506,0))),"00"),"")</f>
        <v/>
      </c>
      <c r="C279" s="49">
        <f>IFERROR(INDEX('Content calendar'!$K$7:$K$506,MATCH(278,'Content calendar'!$P$7:$P$506,0))&amp;"","")</f>
        <v/>
      </c>
      <c r="D279" s="49">
        <f>IFERROR(INDEX('Content calendar'!$L$7:$L$506,MATCH(278,'Content calendar'!$P$7:$P$506,0))&amp;"","")</f>
        <v/>
      </c>
      <c r="E279" s="49">
        <f>IFERROR(INDEX('Content calendar'!$O$7:$O$506,MATCH(278,'Content calendar'!$P$7:$P$506,0))&amp;"","")</f>
        <v/>
      </c>
    </row>
    <row r="280">
      <c r="A280" s="49">
        <f>IFERROR(INDEX('Content calendar'!$H$7:$H$506,MATCH(279,'Content calendar'!$P$7:$P$506,0))&amp;"","")</f>
        <v/>
      </c>
      <c r="B280" s="49">
        <f>IFERROR(YEAR(INDEX('Content calendar'!$A$7:$A$506,MATCH(279,'Content calendar'!$P$7:$P$506,0)))&amp;"-"&amp;TEXT(MONTH(INDEX('Content calendar'!$A$7:$A$506,MATCH(279,'Content calendar'!$P$7:$P$506,0))),"00")&amp;"-"&amp;TEXT(DAY(INDEX('Content calendar'!$A$7:$A$506,MATCH(279,'Content calendar'!$P$7:$P$506,0))),"00")&amp;" "&amp;TEXT(HOUR(INDEX('Content calendar'!$B$7:$B$506,MATCH(279,'Content calendar'!$P$7:$P$506,0))),"00")&amp;":"&amp;TEXT(MINUTE(INDEX('Content calendar'!$B$7:$B$506,MATCH(279,'Content calendar'!$P$7:$P$506,0))),"00"),"")</f>
        <v/>
      </c>
      <c r="C280" s="49">
        <f>IFERROR(INDEX('Content calendar'!$K$7:$K$506,MATCH(279,'Content calendar'!$P$7:$P$506,0))&amp;"","")</f>
        <v/>
      </c>
      <c r="D280" s="49">
        <f>IFERROR(INDEX('Content calendar'!$L$7:$L$506,MATCH(279,'Content calendar'!$P$7:$P$506,0))&amp;"","")</f>
        <v/>
      </c>
      <c r="E280" s="49">
        <f>IFERROR(INDEX('Content calendar'!$O$7:$O$506,MATCH(279,'Content calendar'!$P$7:$P$506,0))&amp;"","")</f>
        <v/>
      </c>
    </row>
    <row r="281">
      <c r="A281" s="49">
        <f>IFERROR(INDEX('Content calendar'!$H$7:$H$506,MATCH(280,'Content calendar'!$P$7:$P$506,0))&amp;"","")</f>
        <v/>
      </c>
      <c r="B281" s="49">
        <f>IFERROR(YEAR(INDEX('Content calendar'!$A$7:$A$506,MATCH(280,'Content calendar'!$P$7:$P$506,0)))&amp;"-"&amp;TEXT(MONTH(INDEX('Content calendar'!$A$7:$A$506,MATCH(280,'Content calendar'!$P$7:$P$506,0))),"00")&amp;"-"&amp;TEXT(DAY(INDEX('Content calendar'!$A$7:$A$506,MATCH(280,'Content calendar'!$P$7:$P$506,0))),"00")&amp;" "&amp;TEXT(HOUR(INDEX('Content calendar'!$B$7:$B$506,MATCH(280,'Content calendar'!$P$7:$P$506,0))),"00")&amp;":"&amp;TEXT(MINUTE(INDEX('Content calendar'!$B$7:$B$506,MATCH(280,'Content calendar'!$P$7:$P$506,0))),"00"),"")</f>
        <v/>
      </c>
      <c r="C281" s="49">
        <f>IFERROR(INDEX('Content calendar'!$K$7:$K$506,MATCH(280,'Content calendar'!$P$7:$P$506,0))&amp;"","")</f>
        <v/>
      </c>
      <c r="D281" s="49">
        <f>IFERROR(INDEX('Content calendar'!$L$7:$L$506,MATCH(280,'Content calendar'!$P$7:$P$506,0))&amp;"","")</f>
        <v/>
      </c>
      <c r="E281" s="49">
        <f>IFERROR(INDEX('Content calendar'!$O$7:$O$506,MATCH(280,'Content calendar'!$P$7:$P$506,0))&amp;"","")</f>
        <v/>
      </c>
    </row>
    <row r="282">
      <c r="A282" s="49">
        <f>IFERROR(INDEX('Content calendar'!$H$7:$H$506,MATCH(281,'Content calendar'!$P$7:$P$506,0))&amp;"","")</f>
        <v/>
      </c>
      <c r="B282" s="49">
        <f>IFERROR(YEAR(INDEX('Content calendar'!$A$7:$A$506,MATCH(281,'Content calendar'!$P$7:$P$506,0)))&amp;"-"&amp;TEXT(MONTH(INDEX('Content calendar'!$A$7:$A$506,MATCH(281,'Content calendar'!$P$7:$P$506,0))),"00")&amp;"-"&amp;TEXT(DAY(INDEX('Content calendar'!$A$7:$A$506,MATCH(281,'Content calendar'!$P$7:$P$506,0))),"00")&amp;" "&amp;TEXT(HOUR(INDEX('Content calendar'!$B$7:$B$506,MATCH(281,'Content calendar'!$P$7:$P$506,0))),"00")&amp;":"&amp;TEXT(MINUTE(INDEX('Content calendar'!$B$7:$B$506,MATCH(281,'Content calendar'!$P$7:$P$506,0))),"00"),"")</f>
        <v/>
      </c>
      <c r="C282" s="49">
        <f>IFERROR(INDEX('Content calendar'!$K$7:$K$506,MATCH(281,'Content calendar'!$P$7:$P$506,0))&amp;"","")</f>
        <v/>
      </c>
      <c r="D282" s="49">
        <f>IFERROR(INDEX('Content calendar'!$L$7:$L$506,MATCH(281,'Content calendar'!$P$7:$P$506,0))&amp;"","")</f>
        <v/>
      </c>
      <c r="E282" s="49">
        <f>IFERROR(INDEX('Content calendar'!$O$7:$O$506,MATCH(281,'Content calendar'!$P$7:$P$506,0))&amp;"","")</f>
        <v/>
      </c>
    </row>
    <row r="283">
      <c r="A283" s="49">
        <f>IFERROR(INDEX('Content calendar'!$H$7:$H$506,MATCH(282,'Content calendar'!$P$7:$P$506,0))&amp;"","")</f>
        <v/>
      </c>
      <c r="B283" s="49">
        <f>IFERROR(YEAR(INDEX('Content calendar'!$A$7:$A$506,MATCH(282,'Content calendar'!$P$7:$P$506,0)))&amp;"-"&amp;TEXT(MONTH(INDEX('Content calendar'!$A$7:$A$506,MATCH(282,'Content calendar'!$P$7:$P$506,0))),"00")&amp;"-"&amp;TEXT(DAY(INDEX('Content calendar'!$A$7:$A$506,MATCH(282,'Content calendar'!$P$7:$P$506,0))),"00")&amp;" "&amp;TEXT(HOUR(INDEX('Content calendar'!$B$7:$B$506,MATCH(282,'Content calendar'!$P$7:$P$506,0))),"00")&amp;":"&amp;TEXT(MINUTE(INDEX('Content calendar'!$B$7:$B$506,MATCH(282,'Content calendar'!$P$7:$P$506,0))),"00"),"")</f>
        <v/>
      </c>
      <c r="C283" s="49">
        <f>IFERROR(INDEX('Content calendar'!$K$7:$K$506,MATCH(282,'Content calendar'!$P$7:$P$506,0))&amp;"","")</f>
        <v/>
      </c>
      <c r="D283" s="49">
        <f>IFERROR(INDEX('Content calendar'!$L$7:$L$506,MATCH(282,'Content calendar'!$P$7:$P$506,0))&amp;"","")</f>
        <v/>
      </c>
      <c r="E283" s="49">
        <f>IFERROR(INDEX('Content calendar'!$O$7:$O$506,MATCH(282,'Content calendar'!$P$7:$P$506,0))&amp;"","")</f>
        <v/>
      </c>
    </row>
    <row r="284">
      <c r="A284" s="49">
        <f>IFERROR(INDEX('Content calendar'!$H$7:$H$506,MATCH(283,'Content calendar'!$P$7:$P$506,0))&amp;"","")</f>
        <v/>
      </c>
      <c r="B284" s="49">
        <f>IFERROR(YEAR(INDEX('Content calendar'!$A$7:$A$506,MATCH(283,'Content calendar'!$P$7:$P$506,0)))&amp;"-"&amp;TEXT(MONTH(INDEX('Content calendar'!$A$7:$A$506,MATCH(283,'Content calendar'!$P$7:$P$506,0))),"00")&amp;"-"&amp;TEXT(DAY(INDEX('Content calendar'!$A$7:$A$506,MATCH(283,'Content calendar'!$P$7:$P$506,0))),"00")&amp;" "&amp;TEXT(HOUR(INDEX('Content calendar'!$B$7:$B$506,MATCH(283,'Content calendar'!$P$7:$P$506,0))),"00")&amp;":"&amp;TEXT(MINUTE(INDEX('Content calendar'!$B$7:$B$506,MATCH(283,'Content calendar'!$P$7:$P$506,0))),"00"),"")</f>
        <v/>
      </c>
      <c r="C284" s="49">
        <f>IFERROR(INDEX('Content calendar'!$K$7:$K$506,MATCH(283,'Content calendar'!$P$7:$P$506,0))&amp;"","")</f>
        <v/>
      </c>
      <c r="D284" s="49">
        <f>IFERROR(INDEX('Content calendar'!$L$7:$L$506,MATCH(283,'Content calendar'!$P$7:$P$506,0))&amp;"","")</f>
        <v/>
      </c>
      <c r="E284" s="49">
        <f>IFERROR(INDEX('Content calendar'!$O$7:$O$506,MATCH(283,'Content calendar'!$P$7:$P$506,0))&amp;"","")</f>
        <v/>
      </c>
    </row>
    <row r="285">
      <c r="A285" s="49">
        <f>IFERROR(INDEX('Content calendar'!$H$7:$H$506,MATCH(284,'Content calendar'!$P$7:$P$506,0))&amp;"","")</f>
        <v/>
      </c>
      <c r="B285" s="49">
        <f>IFERROR(YEAR(INDEX('Content calendar'!$A$7:$A$506,MATCH(284,'Content calendar'!$P$7:$P$506,0)))&amp;"-"&amp;TEXT(MONTH(INDEX('Content calendar'!$A$7:$A$506,MATCH(284,'Content calendar'!$P$7:$P$506,0))),"00")&amp;"-"&amp;TEXT(DAY(INDEX('Content calendar'!$A$7:$A$506,MATCH(284,'Content calendar'!$P$7:$P$506,0))),"00")&amp;" "&amp;TEXT(HOUR(INDEX('Content calendar'!$B$7:$B$506,MATCH(284,'Content calendar'!$P$7:$P$506,0))),"00")&amp;":"&amp;TEXT(MINUTE(INDEX('Content calendar'!$B$7:$B$506,MATCH(284,'Content calendar'!$P$7:$P$506,0))),"00"),"")</f>
        <v/>
      </c>
      <c r="C285" s="49">
        <f>IFERROR(INDEX('Content calendar'!$K$7:$K$506,MATCH(284,'Content calendar'!$P$7:$P$506,0))&amp;"","")</f>
        <v/>
      </c>
      <c r="D285" s="49">
        <f>IFERROR(INDEX('Content calendar'!$L$7:$L$506,MATCH(284,'Content calendar'!$P$7:$P$506,0))&amp;"","")</f>
        <v/>
      </c>
      <c r="E285" s="49">
        <f>IFERROR(INDEX('Content calendar'!$O$7:$O$506,MATCH(284,'Content calendar'!$P$7:$P$506,0))&amp;"","")</f>
        <v/>
      </c>
    </row>
    <row r="286">
      <c r="A286" s="49">
        <f>IFERROR(INDEX('Content calendar'!$H$7:$H$506,MATCH(285,'Content calendar'!$P$7:$P$506,0))&amp;"","")</f>
        <v/>
      </c>
      <c r="B286" s="49">
        <f>IFERROR(YEAR(INDEX('Content calendar'!$A$7:$A$506,MATCH(285,'Content calendar'!$P$7:$P$506,0)))&amp;"-"&amp;TEXT(MONTH(INDEX('Content calendar'!$A$7:$A$506,MATCH(285,'Content calendar'!$P$7:$P$506,0))),"00")&amp;"-"&amp;TEXT(DAY(INDEX('Content calendar'!$A$7:$A$506,MATCH(285,'Content calendar'!$P$7:$P$506,0))),"00")&amp;" "&amp;TEXT(HOUR(INDEX('Content calendar'!$B$7:$B$506,MATCH(285,'Content calendar'!$P$7:$P$506,0))),"00")&amp;":"&amp;TEXT(MINUTE(INDEX('Content calendar'!$B$7:$B$506,MATCH(285,'Content calendar'!$P$7:$P$506,0))),"00"),"")</f>
        <v/>
      </c>
      <c r="C286" s="49">
        <f>IFERROR(INDEX('Content calendar'!$K$7:$K$506,MATCH(285,'Content calendar'!$P$7:$P$506,0))&amp;"","")</f>
        <v/>
      </c>
      <c r="D286" s="49">
        <f>IFERROR(INDEX('Content calendar'!$L$7:$L$506,MATCH(285,'Content calendar'!$P$7:$P$506,0))&amp;"","")</f>
        <v/>
      </c>
      <c r="E286" s="49">
        <f>IFERROR(INDEX('Content calendar'!$O$7:$O$506,MATCH(285,'Content calendar'!$P$7:$P$506,0))&amp;"","")</f>
        <v/>
      </c>
    </row>
    <row r="287">
      <c r="A287" s="49">
        <f>IFERROR(INDEX('Content calendar'!$H$7:$H$506,MATCH(286,'Content calendar'!$P$7:$P$506,0))&amp;"","")</f>
        <v/>
      </c>
      <c r="B287" s="49">
        <f>IFERROR(YEAR(INDEX('Content calendar'!$A$7:$A$506,MATCH(286,'Content calendar'!$P$7:$P$506,0)))&amp;"-"&amp;TEXT(MONTH(INDEX('Content calendar'!$A$7:$A$506,MATCH(286,'Content calendar'!$P$7:$P$506,0))),"00")&amp;"-"&amp;TEXT(DAY(INDEX('Content calendar'!$A$7:$A$506,MATCH(286,'Content calendar'!$P$7:$P$506,0))),"00")&amp;" "&amp;TEXT(HOUR(INDEX('Content calendar'!$B$7:$B$506,MATCH(286,'Content calendar'!$P$7:$P$506,0))),"00")&amp;":"&amp;TEXT(MINUTE(INDEX('Content calendar'!$B$7:$B$506,MATCH(286,'Content calendar'!$P$7:$P$506,0))),"00"),"")</f>
        <v/>
      </c>
      <c r="C287" s="49">
        <f>IFERROR(INDEX('Content calendar'!$K$7:$K$506,MATCH(286,'Content calendar'!$P$7:$P$506,0))&amp;"","")</f>
        <v/>
      </c>
      <c r="D287" s="49">
        <f>IFERROR(INDEX('Content calendar'!$L$7:$L$506,MATCH(286,'Content calendar'!$P$7:$P$506,0))&amp;"","")</f>
        <v/>
      </c>
      <c r="E287" s="49">
        <f>IFERROR(INDEX('Content calendar'!$O$7:$O$506,MATCH(286,'Content calendar'!$P$7:$P$506,0))&amp;"","")</f>
        <v/>
      </c>
    </row>
    <row r="288">
      <c r="A288" s="49">
        <f>IFERROR(INDEX('Content calendar'!$H$7:$H$506,MATCH(287,'Content calendar'!$P$7:$P$506,0))&amp;"","")</f>
        <v/>
      </c>
      <c r="B288" s="49">
        <f>IFERROR(YEAR(INDEX('Content calendar'!$A$7:$A$506,MATCH(287,'Content calendar'!$P$7:$P$506,0)))&amp;"-"&amp;TEXT(MONTH(INDEX('Content calendar'!$A$7:$A$506,MATCH(287,'Content calendar'!$P$7:$P$506,0))),"00")&amp;"-"&amp;TEXT(DAY(INDEX('Content calendar'!$A$7:$A$506,MATCH(287,'Content calendar'!$P$7:$P$506,0))),"00")&amp;" "&amp;TEXT(HOUR(INDEX('Content calendar'!$B$7:$B$506,MATCH(287,'Content calendar'!$P$7:$P$506,0))),"00")&amp;":"&amp;TEXT(MINUTE(INDEX('Content calendar'!$B$7:$B$506,MATCH(287,'Content calendar'!$P$7:$P$506,0))),"00"),"")</f>
        <v/>
      </c>
      <c r="C288" s="49">
        <f>IFERROR(INDEX('Content calendar'!$K$7:$K$506,MATCH(287,'Content calendar'!$P$7:$P$506,0))&amp;"","")</f>
        <v/>
      </c>
      <c r="D288" s="49">
        <f>IFERROR(INDEX('Content calendar'!$L$7:$L$506,MATCH(287,'Content calendar'!$P$7:$P$506,0))&amp;"","")</f>
        <v/>
      </c>
      <c r="E288" s="49">
        <f>IFERROR(INDEX('Content calendar'!$O$7:$O$506,MATCH(287,'Content calendar'!$P$7:$P$506,0))&amp;"","")</f>
        <v/>
      </c>
    </row>
    <row r="289">
      <c r="A289" s="49">
        <f>IFERROR(INDEX('Content calendar'!$H$7:$H$506,MATCH(288,'Content calendar'!$P$7:$P$506,0))&amp;"","")</f>
        <v/>
      </c>
      <c r="B289" s="49">
        <f>IFERROR(YEAR(INDEX('Content calendar'!$A$7:$A$506,MATCH(288,'Content calendar'!$P$7:$P$506,0)))&amp;"-"&amp;TEXT(MONTH(INDEX('Content calendar'!$A$7:$A$506,MATCH(288,'Content calendar'!$P$7:$P$506,0))),"00")&amp;"-"&amp;TEXT(DAY(INDEX('Content calendar'!$A$7:$A$506,MATCH(288,'Content calendar'!$P$7:$P$506,0))),"00")&amp;" "&amp;TEXT(HOUR(INDEX('Content calendar'!$B$7:$B$506,MATCH(288,'Content calendar'!$P$7:$P$506,0))),"00")&amp;":"&amp;TEXT(MINUTE(INDEX('Content calendar'!$B$7:$B$506,MATCH(288,'Content calendar'!$P$7:$P$506,0))),"00"),"")</f>
        <v/>
      </c>
      <c r="C289" s="49">
        <f>IFERROR(INDEX('Content calendar'!$K$7:$K$506,MATCH(288,'Content calendar'!$P$7:$P$506,0))&amp;"","")</f>
        <v/>
      </c>
      <c r="D289" s="49">
        <f>IFERROR(INDEX('Content calendar'!$L$7:$L$506,MATCH(288,'Content calendar'!$P$7:$P$506,0))&amp;"","")</f>
        <v/>
      </c>
      <c r="E289" s="49">
        <f>IFERROR(INDEX('Content calendar'!$O$7:$O$506,MATCH(288,'Content calendar'!$P$7:$P$506,0))&amp;"","")</f>
        <v/>
      </c>
    </row>
    <row r="290">
      <c r="A290" s="49">
        <f>IFERROR(INDEX('Content calendar'!$H$7:$H$506,MATCH(289,'Content calendar'!$P$7:$P$506,0))&amp;"","")</f>
        <v/>
      </c>
      <c r="B290" s="49">
        <f>IFERROR(YEAR(INDEX('Content calendar'!$A$7:$A$506,MATCH(289,'Content calendar'!$P$7:$P$506,0)))&amp;"-"&amp;TEXT(MONTH(INDEX('Content calendar'!$A$7:$A$506,MATCH(289,'Content calendar'!$P$7:$P$506,0))),"00")&amp;"-"&amp;TEXT(DAY(INDEX('Content calendar'!$A$7:$A$506,MATCH(289,'Content calendar'!$P$7:$P$506,0))),"00")&amp;" "&amp;TEXT(HOUR(INDEX('Content calendar'!$B$7:$B$506,MATCH(289,'Content calendar'!$P$7:$P$506,0))),"00")&amp;":"&amp;TEXT(MINUTE(INDEX('Content calendar'!$B$7:$B$506,MATCH(289,'Content calendar'!$P$7:$P$506,0))),"00"),"")</f>
        <v/>
      </c>
      <c r="C290" s="49">
        <f>IFERROR(INDEX('Content calendar'!$K$7:$K$506,MATCH(289,'Content calendar'!$P$7:$P$506,0))&amp;"","")</f>
        <v/>
      </c>
      <c r="D290" s="49">
        <f>IFERROR(INDEX('Content calendar'!$L$7:$L$506,MATCH(289,'Content calendar'!$P$7:$P$506,0))&amp;"","")</f>
        <v/>
      </c>
      <c r="E290" s="49">
        <f>IFERROR(INDEX('Content calendar'!$O$7:$O$506,MATCH(289,'Content calendar'!$P$7:$P$506,0))&amp;"","")</f>
        <v/>
      </c>
    </row>
    <row r="291">
      <c r="A291" s="49">
        <f>IFERROR(INDEX('Content calendar'!$H$7:$H$506,MATCH(290,'Content calendar'!$P$7:$P$506,0))&amp;"","")</f>
        <v/>
      </c>
      <c r="B291" s="49">
        <f>IFERROR(YEAR(INDEX('Content calendar'!$A$7:$A$506,MATCH(290,'Content calendar'!$P$7:$P$506,0)))&amp;"-"&amp;TEXT(MONTH(INDEX('Content calendar'!$A$7:$A$506,MATCH(290,'Content calendar'!$P$7:$P$506,0))),"00")&amp;"-"&amp;TEXT(DAY(INDEX('Content calendar'!$A$7:$A$506,MATCH(290,'Content calendar'!$P$7:$P$506,0))),"00")&amp;" "&amp;TEXT(HOUR(INDEX('Content calendar'!$B$7:$B$506,MATCH(290,'Content calendar'!$P$7:$P$506,0))),"00")&amp;":"&amp;TEXT(MINUTE(INDEX('Content calendar'!$B$7:$B$506,MATCH(290,'Content calendar'!$P$7:$P$506,0))),"00"),"")</f>
        <v/>
      </c>
      <c r="C291" s="49">
        <f>IFERROR(INDEX('Content calendar'!$K$7:$K$506,MATCH(290,'Content calendar'!$P$7:$P$506,0))&amp;"","")</f>
        <v/>
      </c>
      <c r="D291" s="49">
        <f>IFERROR(INDEX('Content calendar'!$L$7:$L$506,MATCH(290,'Content calendar'!$P$7:$P$506,0))&amp;"","")</f>
        <v/>
      </c>
      <c r="E291" s="49">
        <f>IFERROR(INDEX('Content calendar'!$O$7:$O$506,MATCH(290,'Content calendar'!$P$7:$P$506,0))&amp;"","")</f>
        <v/>
      </c>
    </row>
    <row r="292">
      <c r="A292" s="49">
        <f>IFERROR(INDEX('Content calendar'!$H$7:$H$506,MATCH(291,'Content calendar'!$P$7:$P$506,0))&amp;"","")</f>
        <v/>
      </c>
      <c r="B292" s="49">
        <f>IFERROR(YEAR(INDEX('Content calendar'!$A$7:$A$506,MATCH(291,'Content calendar'!$P$7:$P$506,0)))&amp;"-"&amp;TEXT(MONTH(INDEX('Content calendar'!$A$7:$A$506,MATCH(291,'Content calendar'!$P$7:$P$506,0))),"00")&amp;"-"&amp;TEXT(DAY(INDEX('Content calendar'!$A$7:$A$506,MATCH(291,'Content calendar'!$P$7:$P$506,0))),"00")&amp;" "&amp;TEXT(HOUR(INDEX('Content calendar'!$B$7:$B$506,MATCH(291,'Content calendar'!$P$7:$P$506,0))),"00")&amp;":"&amp;TEXT(MINUTE(INDEX('Content calendar'!$B$7:$B$506,MATCH(291,'Content calendar'!$P$7:$P$506,0))),"00"),"")</f>
        <v/>
      </c>
      <c r="C292" s="49">
        <f>IFERROR(INDEX('Content calendar'!$K$7:$K$506,MATCH(291,'Content calendar'!$P$7:$P$506,0))&amp;"","")</f>
        <v/>
      </c>
      <c r="D292" s="49">
        <f>IFERROR(INDEX('Content calendar'!$L$7:$L$506,MATCH(291,'Content calendar'!$P$7:$P$506,0))&amp;"","")</f>
        <v/>
      </c>
      <c r="E292" s="49">
        <f>IFERROR(INDEX('Content calendar'!$O$7:$O$506,MATCH(291,'Content calendar'!$P$7:$P$506,0))&amp;"","")</f>
        <v/>
      </c>
    </row>
    <row r="293">
      <c r="A293" s="49">
        <f>IFERROR(INDEX('Content calendar'!$H$7:$H$506,MATCH(292,'Content calendar'!$P$7:$P$506,0))&amp;"","")</f>
        <v/>
      </c>
      <c r="B293" s="49">
        <f>IFERROR(YEAR(INDEX('Content calendar'!$A$7:$A$506,MATCH(292,'Content calendar'!$P$7:$P$506,0)))&amp;"-"&amp;TEXT(MONTH(INDEX('Content calendar'!$A$7:$A$506,MATCH(292,'Content calendar'!$P$7:$P$506,0))),"00")&amp;"-"&amp;TEXT(DAY(INDEX('Content calendar'!$A$7:$A$506,MATCH(292,'Content calendar'!$P$7:$P$506,0))),"00")&amp;" "&amp;TEXT(HOUR(INDEX('Content calendar'!$B$7:$B$506,MATCH(292,'Content calendar'!$P$7:$P$506,0))),"00")&amp;":"&amp;TEXT(MINUTE(INDEX('Content calendar'!$B$7:$B$506,MATCH(292,'Content calendar'!$P$7:$P$506,0))),"00"),"")</f>
        <v/>
      </c>
      <c r="C293" s="49">
        <f>IFERROR(INDEX('Content calendar'!$K$7:$K$506,MATCH(292,'Content calendar'!$P$7:$P$506,0))&amp;"","")</f>
        <v/>
      </c>
      <c r="D293" s="49">
        <f>IFERROR(INDEX('Content calendar'!$L$7:$L$506,MATCH(292,'Content calendar'!$P$7:$P$506,0))&amp;"","")</f>
        <v/>
      </c>
      <c r="E293" s="49">
        <f>IFERROR(INDEX('Content calendar'!$O$7:$O$506,MATCH(292,'Content calendar'!$P$7:$P$506,0))&amp;"","")</f>
        <v/>
      </c>
    </row>
    <row r="294">
      <c r="A294" s="49">
        <f>IFERROR(INDEX('Content calendar'!$H$7:$H$506,MATCH(293,'Content calendar'!$P$7:$P$506,0))&amp;"","")</f>
        <v/>
      </c>
      <c r="B294" s="49">
        <f>IFERROR(YEAR(INDEX('Content calendar'!$A$7:$A$506,MATCH(293,'Content calendar'!$P$7:$P$506,0)))&amp;"-"&amp;TEXT(MONTH(INDEX('Content calendar'!$A$7:$A$506,MATCH(293,'Content calendar'!$P$7:$P$506,0))),"00")&amp;"-"&amp;TEXT(DAY(INDEX('Content calendar'!$A$7:$A$506,MATCH(293,'Content calendar'!$P$7:$P$506,0))),"00")&amp;" "&amp;TEXT(HOUR(INDEX('Content calendar'!$B$7:$B$506,MATCH(293,'Content calendar'!$P$7:$P$506,0))),"00")&amp;":"&amp;TEXT(MINUTE(INDEX('Content calendar'!$B$7:$B$506,MATCH(293,'Content calendar'!$P$7:$P$506,0))),"00"),"")</f>
        <v/>
      </c>
      <c r="C294" s="49">
        <f>IFERROR(INDEX('Content calendar'!$K$7:$K$506,MATCH(293,'Content calendar'!$P$7:$P$506,0))&amp;"","")</f>
        <v/>
      </c>
      <c r="D294" s="49">
        <f>IFERROR(INDEX('Content calendar'!$L$7:$L$506,MATCH(293,'Content calendar'!$P$7:$P$506,0))&amp;"","")</f>
        <v/>
      </c>
      <c r="E294" s="49">
        <f>IFERROR(INDEX('Content calendar'!$O$7:$O$506,MATCH(293,'Content calendar'!$P$7:$P$506,0))&amp;"","")</f>
        <v/>
      </c>
    </row>
    <row r="295">
      <c r="A295" s="49">
        <f>IFERROR(INDEX('Content calendar'!$H$7:$H$506,MATCH(294,'Content calendar'!$P$7:$P$506,0))&amp;"","")</f>
        <v/>
      </c>
      <c r="B295" s="49">
        <f>IFERROR(YEAR(INDEX('Content calendar'!$A$7:$A$506,MATCH(294,'Content calendar'!$P$7:$P$506,0)))&amp;"-"&amp;TEXT(MONTH(INDEX('Content calendar'!$A$7:$A$506,MATCH(294,'Content calendar'!$P$7:$P$506,0))),"00")&amp;"-"&amp;TEXT(DAY(INDEX('Content calendar'!$A$7:$A$506,MATCH(294,'Content calendar'!$P$7:$P$506,0))),"00")&amp;" "&amp;TEXT(HOUR(INDEX('Content calendar'!$B$7:$B$506,MATCH(294,'Content calendar'!$P$7:$P$506,0))),"00")&amp;":"&amp;TEXT(MINUTE(INDEX('Content calendar'!$B$7:$B$506,MATCH(294,'Content calendar'!$P$7:$P$506,0))),"00"),"")</f>
        <v/>
      </c>
      <c r="C295" s="49">
        <f>IFERROR(INDEX('Content calendar'!$K$7:$K$506,MATCH(294,'Content calendar'!$P$7:$P$506,0))&amp;"","")</f>
        <v/>
      </c>
      <c r="D295" s="49">
        <f>IFERROR(INDEX('Content calendar'!$L$7:$L$506,MATCH(294,'Content calendar'!$P$7:$P$506,0))&amp;"","")</f>
        <v/>
      </c>
      <c r="E295" s="49">
        <f>IFERROR(INDEX('Content calendar'!$O$7:$O$506,MATCH(294,'Content calendar'!$P$7:$P$506,0))&amp;"","")</f>
        <v/>
      </c>
    </row>
    <row r="296">
      <c r="A296" s="49">
        <f>IFERROR(INDEX('Content calendar'!$H$7:$H$506,MATCH(295,'Content calendar'!$P$7:$P$506,0))&amp;"","")</f>
        <v/>
      </c>
      <c r="B296" s="49">
        <f>IFERROR(YEAR(INDEX('Content calendar'!$A$7:$A$506,MATCH(295,'Content calendar'!$P$7:$P$506,0)))&amp;"-"&amp;TEXT(MONTH(INDEX('Content calendar'!$A$7:$A$506,MATCH(295,'Content calendar'!$P$7:$P$506,0))),"00")&amp;"-"&amp;TEXT(DAY(INDEX('Content calendar'!$A$7:$A$506,MATCH(295,'Content calendar'!$P$7:$P$506,0))),"00")&amp;" "&amp;TEXT(HOUR(INDEX('Content calendar'!$B$7:$B$506,MATCH(295,'Content calendar'!$P$7:$P$506,0))),"00")&amp;":"&amp;TEXT(MINUTE(INDEX('Content calendar'!$B$7:$B$506,MATCH(295,'Content calendar'!$P$7:$P$506,0))),"00"),"")</f>
        <v/>
      </c>
      <c r="C296" s="49">
        <f>IFERROR(INDEX('Content calendar'!$K$7:$K$506,MATCH(295,'Content calendar'!$P$7:$P$506,0))&amp;"","")</f>
        <v/>
      </c>
      <c r="D296" s="49">
        <f>IFERROR(INDEX('Content calendar'!$L$7:$L$506,MATCH(295,'Content calendar'!$P$7:$P$506,0))&amp;"","")</f>
        <v/>
      </c>
      <c r="E296" s="49">
        <f>IFERROR(INDEX('Content calendar'!$O$7:$O$506,MATCH(295,'Content calendar'!$P$7:$P$506,0))&amp;"","")</f>
        <v/>
      </c>
    </row>
    <row r="297">
      <c r="A297" s="49">
        <f>IFERROR(INDEX('Content calendar'!$H$7:$H$506,MATCH(296,'Content calendar'!$P$7:$P$506,0))&amp;"","")</f>
        <v/>
      </c>
      <c r="B297" s="49">
        <f>IFERROR(YEAR(INDEX('Content calendar'!$A$7:$A$506,MATCH(296,'Content calendar'!$P$7:$P$506,0)))&amp;"-"&amp;TEXT(MONTH(INDEX('Content calendar'!$A$7:$A$506,MATCH(296,'Content calendar'!$P$7:$P$506,0))),"00")&amp;"-"&amp;TEXT(DAY(INDEX('Content calendar'!$A$7:$A$506,MATCH(296,'Content calendar'!$P$7:$P$506,0))),"00")&amp;" "&amp;TEXT(HOUR(INDEX('Content calendar'!$B$7:$B$506,MATCH(296,'Content calendar'!$P$7:$P$506,0))),"00")&amp;":"&amp;TEXT(MINUTE(INDEX('Content calendar'!$B$7:$B$506,MATCH(296,'Content calendar'!$P$7:$P$506,0))),"00"),"")</f>
        <v/>
      </c>
      <c r="C297" s="49">
        <f>IFERROR(INDEX('Content calendar'!$K$7:$K$506,MATCH(296,'Content calendar'!$P$7:$P$506,0))&amp;"","")</f>
        <v/>
      </c>
      <c r="D297" s="49">
        <f>IFERROR(INDEX('Content calendar'!$L$7:$L$506,MATCH(296,'Content calendar'!$P$7:$P$506,0))&amp;"","")</f>
        <v/>
      </c>
      <c r="E297" s="49">
        <f>IFERROR(INDEX('Content calendar'!$O$7:$O$506,MATCH(296,'Content calendar'!$P$7:$P$506,0))&amp;"","")</f>
        <v/>
      </c>
    </row>
    <row r="298">
      <c r="A298" s="49">
        <f>IFERROR(INDEX('Content calendar'!$H$7:$H$506,MATCH(297,'Content calendar'!$P$7:$P$506,0))&amp;"","")</f>
        <v/>
      </c>
      <c r="B298" s="49">
        <f>IFERROR(YEAR(INDEX('Content calendar'!$A$7:$A$506,MATCH(297,'Content calendar'!$P$7:$P$506,0)))&amp;"-"&amp;TEXT(MONTH(INDEX('Content calendar'!$A$7:$A$506,MATCH(297,'Content calendar'!$P$7:$P$506,0))),"00")&amp;"-"&amp;TEXT(DAY(INDEX('Content calendar'!$A$7:$A$506,MATCH(297,'Content calendar'!$P$7:$P$506,0))),"00")&amp;" "&amp;TEXT(HOUR(INDEX('Content calendar'!$B$7:$B$506,MATCH(297,'Content calendar'!$P$7:$P$506,0))),"00")&amp;":"&amp;TEXT(MINUTE(INDEX('Content calendar'!$B$7:$B$506,MATCH(297,'Content calendar'!$P$7:$P$506,0))),"00"),"")</f>
        <v/>
      </c>
      <c r="C298" s="49">
        <f>IFERROR(INDEX('Content calendar'!$K$7:$K$506,MATCH(297,'Content calendar'!$P$7:$P$506,0))&amp;"","")</f>
        <v/>
      </c>
      <c r="D298" s="49">
        <f>IFERROR(INDEX('Content calendar'!$L$7:$L$506,MATCH(297,'Content calendar'!$P$7:$P$506,0))&amp;"","")</f>
        <v/>
      </c>
      <c r="E298" s="49">
        <f>IFERROR(INDEX('Content calendar'!$O$7:$O$506,MATCH(297,'Content calendar'!$P$7:$P$506,0))&amp;"","")</f>
        <v/>
      </c>
    </row>
    <row r="299">
      <c r="A299" s="49">
        <f>IFERROR(INDEX('Content calendar'!$H$7:$H$506,MATCH(298,'Content calendar'!$P$7:$P$506,0))&amp;"","")</f>
        <v/>
      </c>
      <c r="B299" s="49">
        <f>IFERROR(YEAR(INDEX('Content calendar'!$A$7:$A$506,MATCH(298,'Content calendar'!$P$7:$P$506,0)))&amp;"-"&amp;TEXT(MONTH(INDEX('Content calendar'!$A$7:$A$506,MATCH(298,'Content calendar'!$P$7:$P$506,0))),"00")&amp;"-"&amp;TEXT(DAY(INDEX('Content calendar'!$A$7:$A$506,MATCH(298,'Content calendar'!$P$7:$P$506,0))),"00")&amp;" "&amp;TEXT(HOUR(INDEX('Content calendar'!$B$7:$B$506,MATCH(298,'Content calendar'!$P$7:$P$506,0))),"00")&amp;":"&amp;TEXT(MINUTE(INDEX('Content calendar'!$B$7:$B$506,MATCH(298,'Content calendar'!$P$7:$P$506,0))),"00"),"")</f>
        <v/>
      </c>
      <c r="C299" s="49">
        <f>IFERROR(INDEX('Content calendar'!$K$7:$K$506,MATCH(298,'Content calendar'!$P$7:$P$506,0))&amp;"","")</f>
        <v/>
      </c>
      <c r="D299" s="49">
        <f>IFERROR(INDEX('Content calendar'!$L$7:$L$506,MATCH(298,'Content calendar'!$P$7:$P$506,0))&amp;"","")</f>
        <v/>
      </c>
      <c r="E299" s="49">
        <f>IFERROR(INDEX('Content calendar'!$O$7:$O$506,MATCH(298,'Content calendar'!$P$7:$P$506,0))&amp;"","")</f>
        <v/>
      </c>
    </row>
    <row r="300">
      <c r="A300" s="49">
        <f>IFERROR(INDEX('Content calendar'!$H$7:$H$506,MATCH(299,'Content calendar'!$P$7:$P$506,0))&amp;"","")</f>
        <v/>
      </c>
      <c r="B300" s="49">
        <f>IFERROR(YEAR(INDEX('Content calendar'!$A$7:$A$506,MATCH(299,'Content calendar'!$P$7:$P$506,0)))&amp;"-"&amp;TEXT(MONTH(INDEX('Content calendar'!$A$7:$A$506,MATCH(299,'Content calendar'!$P$7:$P$506,0))),"00")&amp;"-"&amp;TEXT(DAY(INDEX('Content calendar'!$A$7:$A$506,MATCH(299,'Content calendar'!$P$7:$P$506,0))),"00")&amp;" "&amp;TEXT(HOUR(INDEX('Content calendar'!$B$7:$B$506,MATCH(299,'Content calendar'!$P$7:$P$506,0))),"00")&amp;":"&amp;TEXT(MINUTE(INDEX('Content calendar'!$B$7:$B$506,MATCH(299,'Content calendar'!$P$7:$P$506,0))),"00"),"")</f>
        <v/>
      </c>
      <c r="C300" s="49">
        <f>IFERROR(INDEX('Content calendar'!$K$7:$K$506,MATCH(299,'Content calendar'!$P$7:$P$506,0))&amp;"","")</f>
        <v/>
      </c>
      <c r="D300" s="49">
        <f>IFERROR(INDEX('Content calendar'!$L$7:$L$506,MATCH(299,'Content calendar'!$P$7:$P$506,0))&amp;"","")</f>
        <v/>
      </c>
      <c r="E300" s="49">
        <f>IFERROR(INDEX('Content calendar'!$O$7:$O$506,MATCH(299,'Content calendar'!$P$7:$P$506,0))&amp;"","")</f>
        <v/>
      </c>
    </row>
    <row r="301">
      <c r="A301" s="49">
        <f>IFERROR(INDEX('Content calendar'!$H$7:$H$506,MATCH(300,'Content calendar'!$P$7:$P$506,0))&amp;"","")</f>
        <v/>
      </c>
      <c r="B301" s="49">
        <f>IFERROR(YEAR(INDEX('Content calendar'!$A$7:$A$506,MATCH(300,'Content calendar'!$P$7:$P$506,0)))&amp;"-"&amp;TEXT(MONTH(INDEX('Content calendar'!$A$7:$A$506,MATCH(300,'Content calendar'!$P$7:$P$506,0))),"00")&amp;"-"&amp;TEXT(DAY(INDEX('Content calendar'!$A$7:$A$506,MATCH(300,'Content calendar'!$P$7:$P$506,0))),"00")&amp;" "&amp;TEXT(HOUR(INDEX('Content calendar'!$B$7:$B$506,MATCH(300,'Content calendar'!$P$7:$P$506,0))),"00")&amp;":"&amp;TEXT(MINUTE(INDEX('Content calendar'!$B$7:$B$506,MATCH(300,'Content calendar'!$P$7:$P$506,0))),"00"),"")</f>
        <v/>
      </c>
      <c r="C301" s="49">
        <f>IFERROR(INDEX('Content calendar'!$K$7:$K$506,MATCH(300,'Content calendar'!$P$7:$P$506,0))&amp;"","")</f>
        <v/>
      </c>
      <c r="D301" s="49">
        <f>IFERROR(INDEX('Content calendar'!$L$7:$L$506,MATCH(300,'Content calendar'!$P$7:$P$506,0))&amp;"","")</f>
        <v/>
      </c>
      <c r="E301" s="49">
        <f>IFERROR(INDEX('Content calendar'!$O$7:$O$506,MATCH(300,'Content calendar'!$P$7:$P$506,0))&amp;"","")</f>
        <v/>
      </c>
    </row>
    <row r="302">
      <c r="A302" s="49">
        <f>IFERROR(INDEX('Content calendar'!$H$7:$H$506,MATCH(301,'Content calendar'!$P$7:$P$506,0))&amp;"","")</f>
        <v/>
      </c>
      <c r="B302" s="49">
        <f>IFERROR(YEAR(INDEX('Content calendar'!$A$7:$A$506,MATCH(301,'Content calendar'!$P$7:$P$506,0)))&amp;"-"&amp;TEXT(MONTH(INDEX('Content calendar'!$A$7:$A$506,MATCH(301,'Content calendar'!$P$7:$P$506,0))),"00")&amp;"-"&amp;TEXT(DAY(INDEX('Content calendar'!$A$7:$A$506,MATCH(301,'Content calendar'!$P$7:$P$506,0))),"00")&amp;" "&amp;TEXT(HOUR(INDEX('Content calendar'!$B$7:$B$506,MATCH(301,'Content calendar'!$P$7:$P$506,0))),"00")&amp;":"&amp;TEXT(MINUTE(INDEX('Content calendar'!$B$7:$B$506,MATCH(301,'Content calendar'!$P$7:$P$506,0))),"00"),"")</f>
        <v/>
      </c>
      <c r="C302" s="49">
        <f>IFERROR(INDEX('Content calendar'!$K$7:$K$506,MATCH(301,'Content calendar'!$P$7:$P$506,0))&amp;"","")</f>
        <v/>
      </c>
      <c r="D302" s="49">
        <f>IFERROR(INDEX('Content calendar'!$L$7:$L$506,MATCH(301,'Content calendar'!$P$7:$P$506,0))&amp;"","")</f>
        <v/>
      </c>
      <c r="E302" s="49">
        <f>IFERROR(INDEX('Content calendar'!$O$7:$O$506,MATCH(301,'Content calendar'!$P$7:$P$506,0))&amp;"","")</f>
        <v/>
      </c>
    </row>
    <row r="303">
      <c r="A303" s="49">
        <f>IFERROR(INDEX('Content calendar'!$H$7:$H$506,MATCH(302,'Content calendar'!$P$7:$P$506,0))&amp;"","")</f>
        <v/>
      </c>
      <c r="B303" s="49">
        <f>IFERROR(YEAR(INDEX('Content calendar'!$A$7:$A$506,MATCH(302,'Content calendar'!$P$7:$P$506,0)))&amp;"-"&amp;TEXT(MONTH(INDEX('Content calendar'!$A$7:$A$506,MATCH(302,'Content calendar'!$P$7:$P$506,0))),"00")&amp;"-"&amp;TEXT(DAY(INDEX('Content calendar'!$A$7:$A$506,MATCH(302,'Content calendar'!$P$7:$P$506,0))),"00")&amp;" "&amp;TEXT(HOUR(INDEX('Content calendar'!$B$7:$B$506,MATCH(302,'Content calendar'!$P$7:$P$506,0))),"00")&amp;":"&amp;TEXT(MINUTE(INDEX('Content calendar'!$B$7:$B$506,MATCH(302,'Content calendar'!$P$7:$P$506,0))),"00"),"")</f>
        <v/>
      </c>
      <c r="C303" s="49">
        <f>IFERROR(INDEX('Content calendar'!$K$7:$K$506,MATCH(302,'Content calendar'!$P$7:$P$506,0))&amp;"","")</f>
        <v/>
      </c>
      <c r="D303" s="49">
        <f>IFERROR(INDEX('Content calendar'!$L$7:$L$506,MATCH(302,'Content calendar'!$P$7:$P$506,0))&amp;"","")</f>
        <v/>
      </c>
      <c r="E303" s="49">
        <f>IFERROR(INDEX('Content calendar'!$O$7:$O$506,MATCH(302,'Content calendar'!$P$7:$P$506,0))&amp;"","")</f>
        <v/>
      </c>
    </row>
    <row r="304">
      <c r="A304" s="49">
        <f>IFERROR(INDEX('Content calendar'!$H$7:$H$506,MATCH(303,'Content calendar'!$P$7:$P$506,0))&amp;"","")</f>
        <v/>
      </c>
      <c r="B304" s="49">
        <f>IFERROR(YEAR(INDEX('Content calendar'!$A$7:$A$506,MATCH(303,'Content calendar'!$P$7:$P$506,0)))&amp;"-"&amp;TEXT(MONTH(INDEX('Content calendar'!$A$7:$A$506,MATCH(303,'Content calendar'!$P$7:$P$506,0))),"00")&amp;"-"&amp;TEXT(DAY(INDEX('Content calendar'!$A$7:$A$506,MATCH(303,'Content calendar'!$P$7:$P$506,0))),"00")&amp;" "&amp;TEXT(HOUR(INDEX('Content calendar'!$B$7:$B$506,MATCH(303,'Content calendar'!$P$7:$P$506,0))),"00")&amp;":"&amp;TEXT(MINUTE(INDEX('Content calendar'!$B$7:$B$506,MATCH(303,'Content calendar'!$P$7:$P$506,0))),"00"),"")</f>
        <v/>
      </c>
      <c r="C304" s="49">
        <f>IFERROR(INDEX('Content calendar'!$K$7:$K$506,MATCH(303,'Content calendar'!$P$7:$P$506,0))&amp;"","")</f>
        <v/>
      </c>
      <c r="D304" s="49">
        <f>IFERROR(INDEX('Content calendar'!$L$7:$L$506,MATCH(303,'Content calendar'!$P$7:$P$506,0))&amp;"","")</f>
        <v/>
      </c>
      <c r="E304" s="49">
        <f>IFERROR(INDEX('Content calendar'!$O$7:$O$506,MATCH(303,'Content calendar'!$P$7:$P$506,0))&amp;"","")</f>
        <v/>
      </c>
    </row>
    <row r="305">
      <c r="A305" s="49">
        <f>IFERROR(INDEX('Content calendar'!$H$7:$H$506,MATCH(304,'Content calendar'!$P$7:$P$506,0))&amp;"","")</f>
        <v/>
      </c>
      <c r="B305" s="49">
        <f>IFERROR(YEAR(INDEX('Content calendar'!$A$7:$A$506,MATCH(304,'Content calendar'!$P$7:$P$506,0)))&amp;"-"&amp;TEXT(MONTH(INDEX('Content calendar'!$A$7:$A$506,MATCH(304,'Content calendar'!$P$7:$P$506,0))),"00")&amp;"-"&amp;TEXT(DAY(INDEX('Content calendar'!$A$7:$A$506,MATCH(304,'Content calendar'!$P$7:$P$506,0))),"00")&amp;" "&amp;TEXT(HOUR(INDEX('Content calendar'!$B$7:$B$506,MATCH(304,'Content calendar'!$P$7:$P$506,0))),"00")&amp;":"&amp;TEXT(MINUTE(INDEX('Content calendar'!$B$7:$B$506,MATCH(304,'Content calendar'!$P$7:$P$506,0))),"00"),"")</f>
        <v/>
      </c>
      <c r="C305" s="49">
        <f>IFERROR(INDEX('Content calendar'!$K$7:$K$506,MATCH(304,'Content calendar'!$P$7:$P$506,0))&amp;"","")</f>
        <v/>
      </c>
      <c r="D305" s="49">
        <f>IFERROR(INDEX('Content calendar'!$L$7:$L$506,MATCH(304,'Content calendar'!$P$7:$P$506,0))&amp;"","")</f>
        <v/>
      </c>
      <c r="E305" s="49">
        <f>IFERROR(INDEX('Content calendar'!$O$7:$O$506,MATCH(304,'Content calendar'!$P$7:$P$506,0))&amp;"","")</f>
        <v/>
      </c>
    </row>
    <row r="306">
      <c r="A306" s="49">
        <f>IFERROR(INDEX('Content calendar'!$H$7:$H$506,MATCH(305,'Content calendar'!$P$7:$P$506,0))&amp;"","")</f>
        <v/>
      </c>
      <c r="B306" s="49">
        <f>IFERROR(YEAR(INDEX('Content calendar'!$A$7:$A$506,MATCH(305,'Content calendar'!$P$7:$P$506,0)))&amp;"-"&amp;TEXT(MONTH(INDEX('Content calendar'!$A$7:$A$506,MATCH(305,'Content calendar'!$P$7:$P$506,0))),"00")&amp;"-"&amp;TEXT(DAY(INDEX('Content calendar'!$A$7:$A$506,MATCH(305,'Content calendar'!$P$7:$P$506,0))),"00")&amp;" "&amp;TEXT(HOUR(INDEX('Content calendar'!$B$7:$B$506,MATCH(305,'Content calendar'!$P$7:$P$506,0))),"00")&amp;":"&amp;TEXT(MINUTE(INDEX('Content calendar'!$B$7:$B$506,MATCH(305,'Content calendar'!$P$7:$P$506,0))),"00"),"")</f>
        <v/>
      </c>
      <c r="C306" s="49">
        <f>IFERROR(INDEX('Content calendar'!$K$7:$K$506,MATCH(305,'Content calendar'!$P$7:$P$506,0))&amp;"","")</f>
        <v/>
      </c>
      <c r="D306" s="49">
        <f>IFERROR(INDEX('Content calendar'!$L$7:$L$506,MATCH(305,'Content calendar'!$P$7:$P$506,0))&amp;"","")</f>
        <v/>
      </c>
      <c r="E306" s="49">
        <f>IFERROR(INDEX('Content calendar'!$O$7:$O$506,MATCH(305,'Content calendar'!$P$7:$P$506,0))&amp;"","")</f>
        <v/>
      </c>
    </row>
    <row r="307">
      <c r="A307" s="49">
        <f>IFERROR(INDEX('Content calendar'!$H$7:$H$506,MATCH(306,'Content calendar'!$P$7:$P$506,0))&amp;"","")</f>
        <v/>
      </c>
      <c r="B307" s="49">
        <f>IFERROR(YEAR(INDEX('Content calendar'!$A$7:$A$506,MATCH(306,'Content calendar'!$P$7:$P$506,0)))&amp;"-"&amp;TEXT(MONTH(INDEX('Content calendar'!$A$7:$A$506,MATCH(306,'Content calendar'!$P$7:$P$506,0))),"00")&amp;"-"&amp;TEXT(DAY(INDEX('Content calendar'!$A$7:$A$506,MATCH(306,'Content calendar'!$P$7:$P$506,0))),"00")&amp;" "&amp;TEXT(HOUR(INDEX('Content calendar'!$B$7:$B$506,MATCH(306,'Content calendar'!$P$7:$P$506,0))),"00")&amp;":"&amp;TEXT(MINUTE(INDEX('Content calendar'!$B$7:$B$506,MATCH(306,'Content calendar'!$P$7:$P$506,0))),"00"),"")</f>
        <v/>
      </c>
      <c r="C307" s="49">
        <f>IFERROR(INDEX('Content calendar'!$K$7:$K$506,MATCH(306,'Content calendar'!$P$7:$P$506,0))&amp;"","")</f>
        <v/>
      </c>
      <c r="D307" s="49">
        <f>IFERROR(INDEX('Content calendar'!$L$7:$L$506,MATCH(306,'Content calendar'!$P$7:$P$506,0))&amp;"","")</f>
        <v/>
      </c>
      <c r="E307" s="49">
        <f>IFERROR(INDEX('Content calendar'!$O$7:$O$506,MATCH(306,'Content calendar'!$P$7:$P$506,0))&amp;"","")</f>
        <v/>
      </c>
    </row>
    <row r="308">
      <c r="A308" s="49">
        <f>IFERROR(INDEX('Content calendar'!$H$7:$H$506,MATCH(307,'Content calendar'!$P$7:$P$506,0))&amp;"","")</f>
        <v/>
      </c>
      <c r="B308" s="49">
        <f>IFERROR(YEAR(INDEX('Content calendar'!$A$7:$A$506,MATCH(307,'Content calendar'!$P$7:$P$506,0)))&amp;"-"&amp;TEXT(MONTH(INDEX('Content calendar'!$A$7:$A$506,MATCH(307,'Content calendar'!$P$7:$P$506,0))),"00")&amp;"-"&amp;TEXT(DAY(INDEX('Content calendar'!$A$7:$A$506,MATCH(307,'Content calendar'!$P$7:$P$506,0))),"00")&amp;" "&amp;TEXT(HOUR(INDEX('Content calendar'!$B$7:$B$506,MATCH(307,'Content calendar'!$P$7:$P$506,0))),"00")&amp;":"&amp;TEXT(MINUTE(INDEX('Content calendar'!$B$7:$B$506,MATCH(307,'Content calendar'!$P$7:$P$506,0))),"00"),"")</f>
        <v/>
      </c>
      <c r="C308" s="49">
        <f>IFERROR(INDEX('Content calendar'!$K$7:$K$506,MATCH(307,'Content calendar'!$P$7:$P$506,0))&amp;"","")</f>
        <v/>
      </c>
      <c r="D308" s="49">
        <f>IFERROR(INDEX('Content calendar'!$L$7:$L$506,MATCH(307,'Content calendar'!$P$7:$P$506,0))&amp;"","")</f>
        <v/>
      </c>
      <c r="E308" s="49">
        <f>IFERROR(INDEX('Content calendar'!$O$7:$O$506,MATCH(307,'Content calendar'!$P$7:$P$506,0))&amp;"","")</f>
        <v/>
      </c>
    </row>
    <row r="309">
      <c r="A309" s="49">
        <f>IFERROR(INDEX('Content calendar'!$H$7:$H$506,MATCH(308,'Content calendar'!$P$7:$P$506,0))&amp;"","")</f>
        <v/>
      </c>
      <c r="B309" s="49">
        <f>IFERROR(YEAR(INDEX('Content calendar'!$A$7:$A$506,MATCH(308,'Content calendar'!$P$7:$P$506,0)))&amp;"-"&amp;TEXT(MONTH(INDEX('Content calendar'!$A$7:$A$506,MATCH(308,'Content calendar'!$P$7:$P$506,0))),"00")&amp;"-"&amp;TEXT(DAY(INDEX('Content calendar'!$A$7:$A$506,MATCH(308,'Content calendar'!$P$7:$P$506,0))),"00")&amp;" "&amp;TEXT(HOUR(INDEX('Content calendar'!$B$7:$B$506,MATCH(308,'Content calendar'!$P$7:$P$506,0))),"00")&amp;":"&amp;TEXT(MINUTE(INDEX('Content calendar'!$B$7:$B$506,MATCH(308,'Content calendar'!$P$7:$P$506,0))),"00"),"")</f>
        <v/>
      </c>
      <c r="C309" s="49">
        <f>IFERROR(INDEX('Content calendar'!$K$7:$K$506,MATCH(308,'Content calendar'!$P$7:$P$506,0))&amp;"","")</f>
        <v/>
      </c>
      <c r="D309" s="49">
        <f>IFERROR(INDEX('Content calendar'!$L$7:$L$506,MATCH(308,'Content calendar'!$P$7:$P$506,0))&amp;"","")</f>
        <v/>
      </c>
      <c r="E309" s="49">
        <f>IFERROR(INDEX('Content calendar'!$O$7:$O$506,MATCH(308,'Content calendar'!$P$7:$P$506,0))&amp;"","")</f>
        <v/>
      </c>
    </row>
    <row r="310">
      <c r="A310" s="49">
        <f>IFERROR(INDEX('Content calendar'!$H$7:$H$506,MATCH(309,'Content calendar'!$P$7:$P$506,0))&amp;"","")</f>
        <v/>
      </c>
      <c r="B310" s="49">
        <f>IFERROR(YEAR(INDEX('Content calendar'!$A$7:$A$506,MATCH(309,'Content calendar'!$P$7:$P$506,0)))&amp;"-"&amp;TEXT(MONTH(INDEX('Content calendar'!$A$7:$A$506,MATCH(309,'Content calendar'!$P$7:$P$506,0))),"00")&amp;"-"&amp;TEXT(DAY(INDEX('Content calendar'!$A$7:$A$506,MATCH(309,'Content calendar'!$P$7:$P$506,0))),"00")&amp;" "&amp;TEXT(HOUR(INDEX('Content calendar'!$B$7:$B$506,MATCH(309,'Content calendar'!$P$7:$P$506,0))),"00")&amp;":"&amp;TEXT(MINUTE(INDEX('Content calendar'!$B$7:$B$506,MATCH(309,'Content calendar'!$P$7:$P$506,0))),"00"),"")</f>
        <v/>
      </c>
      <c r="C310" s="49">
        <f>IFERROR(INDEX('Content calendar'!$K$7:$K$506,MATCH(309,'Content calendar'!$P$7:$P$506,0))&amp;"","")</f>
        <v/>
      </c>
      <c r="D310" s="49">
        <f>IFERROR(INDEX('Content calendar'!$L$7:$L$506,MATCH(309,'Content calendar'!$P$7:$P$506,0))&amp;"","")</f>
        <v/>
      </c>
      <c r="E310" s="49">
        <f>IFERROR(INDEX('Content calendar'!$O$7:$O$506,MATCH(309,'Content calendar'!$P$7:$P$506,0))&amp;"","")</f>
        <v/>
      </c>
    </row>
    <row r="311">
      <c r="A311" s="49">
        <f>IFERROR(INDEX('Content calendar'!$H$7:$H$506,MATCH(310,'Content calendar'!$P$7:$P$506,0))&amp;"","")</f>
        <v/>
      </c>
      <c r="B311" s="49">
        <f>IFERROR(YEAR(INDEX('Content calendar'!$A$7:$A$506,MATCH(310,'Content calendar'!$P$7:$P$506,0)))&amp;"-"&amp;TEXT(MONTH(INDEX('Content calendar'!$A$7:$A$506,MATCH(310,'Content calendar'!$P$7:$P$506,0))),"00")&amp;"-"&amp;TEXT(DAY(INDEX('Content calendar'!$A$7:$A$506,MATCH(310,'Content calendar'!$P$7:$P$506,0))),"00")&amp;" "&amp;TEXT(HOUR(INDEX('Content calendar'!$B$7:$B$506,MATCH(310,'Content calendar'!$P$7:$P$506,0))),"00")&amp;":"&amp;TEXT(MINUTE(INDEX('Content calendar'!$B$7:$B$506,MATCH(310,'Content calendar'!$P$7:$P$506,0))),"00"),"")</f>
        <v/>
      </c>
      <c r="C311" s="49">
        <f>IFERROR(INDEX('Content calendar'!$K$7:$K$506,MATCH(310,'Content calendar'!$P$7:$P$506,0))&amp;"","")</f>
        <v/>
      </c>
      <c r="D311" s="49">
        <f>IFERROR(INDEX('Content calendar'!$L$7:$L$506,MATCH(310,'Content calendar'!$P$7:$P$506,0))&amp;"","")</f>
        <v/>
      </c>
      <c r="E311" s="49">
        <f>IFERROR(INDEX('Content calendar'!$O$7:$O$506,MATCH(310,'Content calendar'!$P$7:$P$506,0))&amp;"","")</f>
        <v/>
      </c>
    </row>
    <row r="312">
      <c r="A312" s="49">
        <f>IFERROR(INDEX('Content calendar'!$H$7:$H$506,MATCH(311,'Content calendar'!$P$7:$P$506,0))&amp;"","")</f>
        <v/>
      </c>
      <c r="B312" s="49">
        <f>IFERROR(YEAR(INDEX('Content calendar'!$A$7:$A$506,MATCH(311,'Content calendar'!$P$7:$P$506,0)))&amp;"-"&amp;TEXT(MONTH(INDEX('Content calendar'!$A$7:$A$506,MATCH(311,'Content calendar'!$P$7:$P$506,0))),"00")&amp;"-"&amp;TEXT(DAY(INDEX('Content calendar'!$A$7:$A$506,MATCH(311,'Content calendar'!$P$7:$P$506,0))),"00")&amp;" "&amp;TEXT(HOUR(INDEX('Content calendar'!$B$7:$B$506,MATCH(311,'Content calendar'!$P$7:$P$506,0))),"00")&amp;":"&amp;TEXT(MINUTE(INDEX('Content calendar'!$B$7:$B$506,MATCH(311,'Content calendar'!$P$7:$P$506,0))),"00"),"")</f>
        <v/>
      </c>
      <c r="C312" s="49">
        <f>IFERROR(INDEX('Content calendar'!$K$7:$K$506,MATCH(311,'Content calendar'!$P$7:$P$506,0))&amp;"","")</f>
        <v/>
      </c>
      <c r="D312" s="49">
        <f>IFERROR(INDEX('Content calendar'!$L$7:$L$506,MATCH(311,'Content calendar'!$P$7:$P$506,0))&amp;"","")</f>
        <v/>
      </c>
      <c r="E312" s="49">
        <f>IFERROR(INDEX('Content calendar'!$O$7:$O$506,MATCH(311,'Content calendar'!$P$7:$P$506,0))&amp;"","")</f>
        <v/>
      </c>
    </row>
    <row r="313">
      <c r="A313" s="49">
        <f>IFERROR(INDEX('Content calendar'!$H$7:$H$506,MATCH(312,'Content calendar'!$P$7:$P$506,0))&amp;"","")</f>
        <v/>
      </c>
      <c r="B313" s="49">
        <f>IFERROR(YEAR(INDEX('Content calendar'!$A$7:$A$506,MATCH(312,'Content calendar'!$P$7:$P$506,0)))&amp;"-"&amp;TEXT(MONTH(INDEX('Content calendar'!$A$7:$A$506,MATCH(312,'Content calendar'!$P$7:$P$506,0))),"00")&amp;"-"&amp;TEXT(DAY(INDEX('Content calendar'!$A$7:$A$506,MATCH(312,'Content calendar'!$P$7:$P$506,0))),"00")&amp;" "&amp;TEXT(HOUR(INDEX('Content calendar'!$B$7:$B$506,MATCH(312,'Content calendar'!$P$7:$P$506,0))),"00")&amp;":"&amp;TEXT(MINUTE(INDEX('Content calendar'!$B$7:$B$506,MATCH(312,'Content calendar'!$P$7:$P$506,0))),"00"),"")</f>
        <v/>
      </c>
      <c r="C313" s="49">
        <f>IFERROR(INDEX('Content calendar'!$K$7:$K$506,MATCH(312,'Content calendar'!$P$7:$P$506,0))&amp;"","")</f>
        <v/>
      </c>
      <c r="D313" s="49">
        <f>IFERROR(INDEX('Content calendar'!$L$7:$L$506,MATCH(312,'Content calendar'!$P$7:$P$506,0))&amp;"","")</f>
        <v/>
      </c>
      <c r="E313" s="49">
        <f>IFERROR(INDEX('Content calendar'!$O$7:$O$506,MATCH(312,'Content calendar'!$P$7:$P$506,0))&amp;"","")</f>
        <v/>
      </c>
    </row>
    <row r="314">
      <c r="A314" s="49">
        <f>IFERROR(INDEX('Content calendar'!$H$7:$H$506,MATCH(313,'Content calendar'!$P$7:$P$506,0))&amp;"","")</f>
        <v/>
      </c>
      <c r="B314" s="49">
        <f>IFERROR(YEAR(INDEX('Content calendar'!$A$7:$A$506,MATCH(313,'Content calendar'!$P$7:$P$506,0)))&amp;"-"&amp;TEXT(MONTH(INDEX('Content calendar'!$A$7:$A$506,MATCH(313,'Content calendar'!$P$7:$P$506,0))),"00")&amp;"-"&amp;TEXT(DAY(INDEX('Content calendar'!$A$7:$A$506,MATCH(313,'Content calendar'!$P$7:$P$506,0))),"00")&amp;" "&amp;TEXT(HOUR(INDEX('Content calendar'!$B$7:$B$506,MATCH(313,'Content calendar'!$P$7:$P$506,0))),"00")&amp;":"&amp;TEXT(MINUTE(INDEX('Content calendar'!$B$7:$B$506,MATCH(313,'Content calendar'!$P$7:$P$506,0))),"00"),"")</f>
        <v/>
      </c>
      <c r="C314" s="49">
        <f>IFERROR(INDEX('Content calendar'!$K$7:$K$506,MATCH(313,'Content calendar'!$P$7:$P$506,0))&amp;"","")</f>
        <v/>
      </c>
      <c r="D314" s="49">
        <f>IFERROR(INDEX('Content calendar'!$L$7:$L$506,MATCH(313,'Content calendar'!$P$7:$P$506,0))&amp;"","")</f>
        <v/>
      </c>
      <c r="E314" s="49">
        <f>IFERROR(INDEX('Content calendar'!$O$7:$O$506,MATCH(313,'Content calendar'!$P$7:$P$506,0))&amp;"","")</f>
        <v/>
      </c>
    </row>
    <row r="315">
      <c r="A315" s="49">
        <f>IFERROR(INDEX('Content calendar'!$H$7:$H$506,MATCH(314,'Content calendar'!$P$7:$P$506,0))&amp;"","")</f>
        <v/>
      </c>
      <c r="B315" s="49">
        <f>IFERROR(YEAR(INDEX('Content calendar'!$A$7:$A$506,MATCH(314,'Content calendar'!$P$7:$P$506,0)))&amp;"-"&amp;TEXT(MONTH(INDEX('Content calendar'!$A$7:$A$506,MATCH(314,'Content calendar'!$P$7:$P$506,0))),"00")&amp;"-"&amp;TEXT(DAY(INDEX('Content calendar'!$A$7:$A$506,MATCH(314,'Content calendar'!$P$7:$P$506,0))),"00")&amp;" "&amp;TEXT(HOUR(INDEX('Content calendar'!$B$7:$B$506,MATCH(314,'Content calendar'!$P$7:$P$506,0))),"00")&amp;":"&amp;TEXT(MINUTE(INDEX('Content calendar'!$B$7:$B$506,MATCH(314,'Content calendar'!$P$7:$P$506,0))),"00"),"")</f>
        <v/>
      </c>
      <c r="C315" s="49">
        <f>IFERROR(INDEX('Content calendar'!$K$7:$K$506,MATCH(314,'Content calendar'!$P$7:$P$506,0))&amp;"","")</f>
        <v/>
      </c>
      <c r="D315" s="49">
        <f>IFERROR(INDEX('Content calendar'!$L$7:$L$506,MATCH(314,'Content calendar'!$P$7:$P$506,0))&amp;"","")</f>
        <v/>
      </c>
      <c r="E315" s="49">
        <f>IFERROR(INDEX('Content calendar'!$O$7:$O$506,MATCH(314,'Content calendar'!$P$7:$P$506,0))&amp;"","")</f>
        <v/>
      </c>
    </row>
    <row r="316">
      <c r="A316" s="49">
        <f>IFERROR(INDEX('Content calendar'!$H$7:$H$506,MATCH(315,'Content calendar'!$P$7:$P$506,0))&amp;"","")</f>
        <v/>
      </c>
      <c r="B316" s="49">
        <f>IFERROR(YEAR(INDEX('Content calendar'!$A$7:$A$506,MATCH(315,'Content calendar'!$P$7:$P$506,0)))&amp;"-"&amp;TEXT(MONTH(INDEX('Content calendar'!$A$7:$A$506,MATCH(315,'Content calendar'!$P$7:$P$506,0))),"00")&amp;"-"&amp;TEXT(DAY(INDEX('Content calendar'!$A$7:$A$506,MATCH(315,'Content calendar'!$P$7:$P$506,0))),"00")&amp;" "&amp;TEXT(HOUR(INDEX('Content calendar'!$B$7:$B$506,MATCH(315,'Content calendar'!$P$7:$P$506,0))),"00")&amp;":"&amp;TEXT(MINUTE(INDEX('Content calendar'!$B$7:$B$506,MATCH(315,'Content calendar'!$P$7:$P$506,0))),"00"),"")</f>
        <v/>
      </c>
      <c r="C316" s="49">
        <f>IFERROR(INDEX('Content calendar'!$K$7:$K$506,MATCH(315,'Content calendar'!$P$7:$P$506,0))&amp;"","")</f>
        <v/>
      </c>
      <c r="D316" s="49">
        <f>IFERROR(INDEX('Content calendar'!$L$7:$L$506,MATCH(315,'Content calendar'!$P$7:$P$506,0))&amp;"","")</f>
        <v/>
      </c>
      <c r="E316" s="49">
        <f>IFERROR(INDEX('Content calendar'!$O$7:$O$506,MATCH(315,'Content calendar'!$P$7:$P$506,0))&amp;"","")</f>
        <v/>
      </c>
    </row>
    <row r="317">
      <c r="A317" s="49">
        <f>IFERROR(INDEX('Content calendar'!$H$7:$H$506,MATCH(316,'Content calendar'!$P$7:$P$506,0))&amp;"","")</f>
        <v/>
      </c>
      <c r="B317" s="49">
        <f>IFERROR(YEAR(INDEX('Content calendar'!$A$7:$A$506,MATCH(316,'Content calendar'!$P$7:$P$506,0)))&amp;"-"&amp;TEXT(MONTH(INDEX('Content calendar'!$A$7:$A$506,MATCH(316,'Content calendar'!$P$7:$P$506,0))),"00")&amp;"-"&amp;TEXT(DAY(INDEX('Content calendar'!$A$7:$A$506,MATCH(316,'Content calendar'!$P$7:$P$506,0))),"00")&amp;" "&amp;TEXT(HOUR(INDEX('Content calendar'!$B$7:$B$506,MATCH(316,'Content calendar'!$P$7:$P$506,0))),"00")&amp;":"&amp;TEXT(MINUTE(INDEX('Content calendar'!$B$7:$B$506,MATCH(316,'Content calendar'!$P$7:$P$506,0))),"00"),"")</f>
        <v/>
      </c>
      <c r="C317" s="49">
        <f>IFERROR(INDEX('Content calendar'!$K$7:$K$506,MATCH(316,'Content calendar'!$P$7:$P$506,0))&amp;"","")</f>
        <v/>
      </c>
      <c r="D317" s="49">
        <f>IFERROR(INDEX('Content calendar'!$L$7:$L$506,MATCH(316,'Content calendar'!$P$7:$P$506,0))&amp;"","")</f>
        <v/>
      </c>
      <c r="E317" s="49">
        <f>IFERROR(INDEX('Content calendar'!$O$7:$O$506,MATCH(316,'Content calendar'!$P$7:$P$506,0))&amp;"","")</f>
        <v/>
      </c>
    </row>
    <row r="318">
      <c r="A318" s="49">
        <f>IFERROR(INDEX('Content calendar'!$H$7:$H$506,MATCH(317,'Content calendar'!$P$7:$P$506,0))&amp;"","")</f>
        <v/>
      </c>
      <c r="B318" s="49">
        <f>IFERROR(YEAR(INDEX('Content calendar'!$A$7:$A$506,MATCH(317,'Content calendar'!$P$7:$P$506,0)))&amp;"-"&amp;TEXT(MONTH(INDEX('Content calendar'!$A$7:$A$506,MATCH(317,'Content calendar'!$P$7:$P$506,0))),"00")&amp;"-"&amp;TEXT(DAY(INDEX('Content calendar'!$A$7:$A$506,MATCH(317,'Content calendar'!$P$7:$P$506,0))),"00")&amp;" "&amp;TEXT(HOUR(INDEX('Content calendar'!$B$7:$B$506,MATCH(317,'Content calendar'!$P$7:$P$506,0))),"00")&amp;":"&amp;TEXT(MINUTE(INDEX('Content calendar'!$B$7:$B$506,MATCH(317,'Content calendar'!$P$7:$P$506,0))),"00"),"")</f>
        <v/>
      </c>
      <c r="C318" s="49">
        <f>IFERROR(INDEX('Content calendar'!$K$7:$K$506,MATCH(317,'Content calendar'!$P$7:$P$506,0))&amp;"","")</f>
        <v/>
      </c>
      <c r="D318" s="49">
        <f>IFERROR(INDEX('Content calendar'!$L$7:$L$506,MATCH(317,'Content calendar'!$P$7:$P$506,0))&amp;"","")</f>
        <v/>
      </c>
      <c r="E318" s="49">
        <f>IFERROR(INDEX('Content calendar'!$O$7:$O$506,MATCH(317,'Content calendar'!$P$7:$P$506,0))&amp;"","")</f>
        <v/>
      </c>
    </row>
    <row r="319">
      <c r="A319" s="49">
        <f>IFERROR(INDEX('Content calendar'!$H$7:$H$506,MATCH(318,'Content calendar'!$P$7:$P$506,0))&amp;"","")</f>
        <v/>
      </c>
      <c r="B319" s="49">
        <f>IFERROR(YEAR(INDEX('Content calendar'!$A$7:$A$506,MATCH(318,'Content calendar'!$P$7:$P$506,0)))&amp;"-"&amp;TEXT(MONTH(INDEX('Content calendar'!$A$7:$A$506,MATCH(318,'Content calendar'!$P$7:$P$506,0))),"00")&amp;"-"&amp;TEXT(DAY(INDEX('Content calendar'!$A$7:$A$506,MATCH(318,'Content calendar'!$P$7:$P$506,0))),"00")&amp;" "&amp;TEXT(HOUR(INDEX('Content calendar'!$B$7:$B$506,MATCH(318,'Content calendar'!$P$7:$P$506,0))),"00")&amp;":"&amp;TEXT(MINUTE(INDEX('Content calendar'!$B$7:$B$506,MATCH(318,'Content calendar'!$P$7:$P$506,0))),"00"),"")</f>
        <v/>
      </c>
      <c r="C319" s="49">
        <f>IFERROR(INDEX('Content calendar'!$K$7:$K$506,MATCH(318,'Content calendar'!$P$7:$P$506,0))&amp;"","")</f>
        <v/>
      </c>
      <c r="D319" s="49">
        <f>IFERROR(INDEX('Content calendar'!$L$7:$L$506,MATCH(318,'Content calendar'!$P$7:$P$506,0))&amp;"","")</f>
        <v/>
      </c>
      <c r="E319" s="49">
        <f>IFERROR(INDEX('Content calendar'!$O$7:$O$506,MATCH(318,'Content calendar'!$P$7:$P$506,0))&amp;"","")</f>
        <v/>
      </c>
    </row>
    <row r="320">
      <c r="A320" s="49">
        <f>IFERROR(INDEX('Content calendar'!$H$7:$H$506,MATCH(319,'Content calendar'!$P$7:$P$506,0))&amp;"","")</f>
        <v/>
      </c>
      <c r="B320" s="49">
        <f>IFERROR(YEAR(INDEX('Content calendar'!$A$7:$A$506,MATCH(319,'Content calendar'!$P$7:$P$506,0)))&amp;"-"&amp;TEXT(MONTH(INDEX('Content calendar'!$A$7:$A$506,MATCH(319,'Content calendar'!$P$7:$P$506,0))),"00")&amp;"-"&amp;TEXT(DAY(INDEX('Content calendar'!$A$7:$A$506,MATCH(319,'Content calendar'!$P$7:$P$506,0))),"00")&amp;" "&amp;TEXT(HOUR(INDEX('Content calendar'!$B$7:$B$506,MATCH(319,'Content calendar'!$P$7:$P$506,0))),"00")&amp;":"&amp;TEXT(MINUTE(INDEX('Content calendar'!$B$7:$B$506,MATCH(319,'Content calendar'!$P$7:$P$506,0))),"00"),"")</f>
        <v/>
      </c>
      <c r="C320" s="49">
        <f>IFERROR(INDEX('Content calendar'!$K$7:$K$506,MATCH(319,'Content calendar'!$P$7:$P$506,0))&amp;"","")</f>
        <v/>
      </c>
      <c r="D320" s="49">
        <f>IFERROR(INDEX('Content calendar'!$L$7:$L$506,MATCH(319,'Content calendar'!$P$7:$P$506,0))&amp;"","")</f>
        <v/>
      </c>
      <c r="E320" s="49">
        <f>IFERROR(INDEX('Content calendar'!$O$7:$O$506,MATCH(319,'Content calendar'!$P$7:$P$506,0))&amp;"","")</f>
        <v/>
      </c>
    </row>
    <row r="321">
      <c r="A321" s="49">
        <f>IFERROR(INDEX('Content calendar'!$H$7:$H$506,MATCH(320,'Content calendar'!$P$7:$P$506,0))&amp;"","")</f>
        <v/>
      </c>
      <c r="B321" s="49">
        <f>IFERROR(YEAR(INDEX('Content calendar'!$A$7:$A$506,MATCH(320,'Content calendar'!$P$7:$P$506,0)))&amp;"-"&amp;TEXT(MONTH(INDEX('Content calendar'!$A$7:$A$506,MATCH(320,'Content calendar'!$P$7:$P$506,0))),"00")&amp;"-"&amp;TEXT(DAY(INDEX('Content calendar'!$A$7:$A$506,MATCH(320,'Content calendar'!$P$7:$P$506,0))),"00")&amp;" "&amp;TEXT(HOUR(INDEX('Content calendar'!$B$7:$B$506,MATCH(320,'Content calendar'!$P$7:$P$506,0))),"00")&amp;":"&amp;TEXT(MINUTE(INDEX('Content calendar'!$B$7:$B$506,MATCH(320,'Content calendar'!$P$7:$P$506,0))),"00"),"")</f>
        <v/>
      </c>
      <c r="C321" s="49">
        <f>IFERROR(INDEX('Content calendar'!$K$7:$K$506,MATCH(320,'Content calendar'!$P$7:$P$506,0))&amp;"","")</f>
        <v/>
      </c>
      <c r="D321" s="49">
        <f>IFERROR(INDEX('Content calendar'!$L$7:$L$506,MATCH(320,'Content calendar'!$P$7:$P$506,0))&amp;"","")</f>
        <v/>
      </c>
      <c r="E321" s="49">
        <f>IFERROR(INDEX('Content calendar'!$O$7:$O$506,MATCH(320,'Content calendar'!$P$7:$P$506,0))&amp;"","")</f>
        <v/>
      </c>
    </row>
    <row r="322">
      <c r="A322" s="49">
        <f>IFERROR(INDEX('Content calendar'!$H$7:$H$506,MATCH(321,'Content calendar'!$P$7:$P$506,0))&amp;"","")</f>
        <v/>
      </c>
      <c r="B322" s="49">
        <f>IFERROR(YEAR(INDEX('Content calendar'!$A$7:$A$506,MATCH(321,'Content calendar'!$P$7:$P$506,0)))&amp;"-"&amp;TEXT(MONTH(INDEX('Content calendar'!$A$7:$A$506,MATCH(321,'Content calendar'!$P$7:$P$506,0))),"00")&amp;"-"&amp;TEXT(DAY(INDEX('Content calendar'!$A$7:$A$506,MATCH(321,'Content calendar'!$P$7:$P$506,0))),"00")&amp;" "&amp;TEXT(HOUR(INDEX('Content calendar'!$B$7:$B$506,MATCH(321,'Content calendar'!$P$7:$P$506,0))),"00")&amp;":"&amp;TEXT(MINUTE(INDEX('Content calendar'!$B$7:$B$506,MATCH(321,'Content calendar'!$P$7:$P$506,0))),"00"),"")</f>
        <v/>
      </c>
      <c r="C322" s="49">
        <f>IFERROR(INDEX('Content calendar'!$K$7:$K$506,MATCH(321,'Content calendar'!$P$7:$P$506,0))&amp;"","")</f>
        <v/>
      </c>
      <c r="D322" s="49">
        <f>IFERROR(INDEX('Content calendar'!$L$7:$L$506,MATCH(321,'Content calendar'!$P$7:$P$506,0))&amp;"","")</f>
        <v/>
      </c>
      <c r="E322" s="49">
        <f>IFERROR(INDEX('Content calendar'!$O$7:$O$506,MATCH(321,'Content calendar'!$P$7:$P$506,0))&amp;"","")</f>
        <v/>
      </c>
    </row>
    <row r="323">
      <c r="A323" s="49">
        <f>IFERROR(INDEX('Content calendar'!$H$7:$H$506,MATCH(322,'Content calendar'!$P$7:$P$506,0))&amp;"","")</f>
        <v/>
      </c>
      <c r="B323" s="49">
        <f>IFERROR(YEAR(INDEX('Content calendar'!$A$7:$A$506,MATCH(322,'Content calendar'!$P$7:$P$506,0)))&amp;"-"&amp;TEXT(MONTH(INDEX('Content calendar'!$A$7:$A$506,MATCH(322,'Content calendar'!$P$7:$P$506,0))),"00")&amp;"-"&amp;TEXT(DAY(INDEX('Content calendar'!$A$7:$A$506,MATCH(322,'Content calendar'!$P$7:$P$506,0))),"00")&amp;" "&amp;TEXT(HOUR(INDEX('Content calendar'!$B$7:$B$506,MATCH(322,'Content calendar'!$P$7:$P$506,0))),"00")&amp;":"&amp;TEXT(MINUTE(INDEX('Content calendar'!$B$7:$B$506,MATCH(322,'Content calendar'!$P$7:$P$506,0))),"00"),"")</f>
        <v/>
      </c>
      <c r="C323" s="49">
        <f>IFERROR(INDEX('Content calendar'!$K$7:$K$506,MATCH(322,'Content calendar'!$P$7:$P$506,0))&amp;"","")</f>
        <v/>
      </c>
      <c r="D323" s="49">
        <f>IFERROR(INDEX('Content calendar'!$L$7:$L$506,MATCH(322,'Content calendar'!$P$7:$P$506,0))&amp;"","")</f>
        <v/>
      </c>
      <c r="E323" s="49">
        <f>IFERROR(INDEX('Content calendar'!$O$7:$O$506,MATCH(322,'Content calendar'!$P$7:$P$506,0))&amp;"","")</f>
        <v/>
      </c>
    </row>
    <row r="324">
      <c r="A324" s="49">
        <f>IFERROR(INDEX('Content calendar'!$H$7:$H$506,MATCH(323,'Content calendar'!$P$7:$P$506,0))&amp;"","")</f>
        <v/>
      </c>
      <c r="B324" s="49">
        <f>IFERROR(YEAR(INDEX('Content calendar'!$A$7:$A$506,MATCH(323,'Content calendar'!$P$7:$P$506,0)))&amp;"-"&amp;TEXT(MONTH(INDEX('Content calendar'!$A$7:$A$506,MATCH(323,'Content calendar'!$P$7:$P$506,0))),"00")&amp;"-"&amp;TEXT(DAY(INDEX('Content calendar'!$A$7:$A$506,MATCH(323,'Content calendar'!$P$7:$P$506,0))),"00")&amp;" "&amp;TEXT(HOUR(INDEX('Content calendar'!$B$7:$B$506,MATCH(323,'Content calendar'!$P$7:$P$506,0))),"00")&amp;":"&amp;TEXT(MINUTE(INDEX('Content calendar'!$B$7:$B$506,MATCH(323,'Content calendar'!$P$7:$P$506,0))),"00"),"")</f>
        <v/>
      </c>
      <c r="C324" s="49">
        <f>IFERROR(INDEX('Content calendar'!$K$7:$K$506,MATCH(323,'Content calendar'!$P$7:$P$506,0))&amp;"","")</f>
        <v/>
      </c>
      <c r="D324" s="49">
        <f>IFERROR(INDEX('Content calendar'!$L$7:$L$506,MATCH(323,'Content calendar'!$P$7:$P$506,0))&amp;"","")</f>
        <v/>
      </c>
      <c r="E324" s="49">
        <f>IFERROR(INDEX('Content calendar'!$O$7:$O$506,MATCH(323,'Content calendar'!$P$7:$P$506,0))&amp;"","")</f>
        <v/>
      </c>
    </row>
    <row r="325">
      <c r="A325" s="49">
        <f>IFERROR(INDEX('Content calendar'!$H$7:$H$506,MATCH(324,'Content calendar'!$P$7:$P$506,0))&amp;"","")</f>
        <v/>
      </c>
      <c r="B325" s="49">
        <f>IFERROR(YEAR(INDEX('Content calendar'!$A$7:$A$506,MATCH(324,'Content calendar'!$P$7:$P$506,0)))&amp;"-"&amp;TEXT(MONTH(INDEX('Content calendar'!$A$7:$A$506,MATCH(324,'Content calendar'!$P$7:$P$506,0))),"00")&amp;"-"&amp;TEXT(DAY(INDEX('Content calendar'!$A$7:$A$506,MATCH(324,'Content calendar'!$P$7:$P$506,0))),"00")&amp;" "&amp;TEXT(HOUR(INDEX('Content calendar'!$B$7:$B$506,MATCH(324,'Content calendar'!$P$7:$P$506,0))),"00")&amp;":"&amp;TEXT(MINUTE(INDEX('Content calendar'!$B$7:$B$506,MATCH(324,'Content calendar'!$P$7:$P$506,0))),"00"),"")</f>
        <v/>
      </c>
      <c r="C325" s="49">
        <f>IFERROR(INDEX('Content calendar'!$K$7:$K$506,MATCH(324,'Content calendar'!$P$7:$P$506,0))&amp;"","")</f>
        <v/>
      </c>
      <c r="D325" s="49">
        <f>IFERROR(INDEX('Content calendar'!$L$7:$L$506,MATCH(324,'Content calendar'!$P$7:$P$506,0))&amp;"","")</f>
        <v/>
      </c>
      <c r="E325" s="49">
        <f>IFERROR(INDEX('Content calendar'!$O$7:$O$506,MATCH(324,'Content calendar'!$P$7:$P$506,0))&amp;"","")</f>
        <v/>
      </c>
    </row>
    <row r="326">
      <c r="A326" s="49">
        <f>IFERROR(INDEX('Content calendar'!$H$7:$H$506,MATCH(325,'Content calendar'!$P$7:$P$506,0))&amp;"","")</f>
        <v/>
      </c>
      <c r="B326" s="49">
        <f>IFERROR(YEAR(INDEX('Content calendar'!$A$7:$A$506,MATCH(325,'Content calendar'!$P$7:$P$506,0)))&amp;"-"&amp;TEXT(MONTH(INDEX('Content calendar'!$A$7:$A$506,MATCH(325,'Content calendar'!$P$7:$P$506,0))),"00")&amp;"-"&amp;TEXT(DAY(INDEX('Content calendar'!$A$7:$A$506,MATCH(325,'Content calendar'!$P$7:$P$506,0))),"00")&amp;" "&amp;TEXT(HOUR(INDEX('Content calendar'!$B$7:$B$506,MATCH(325,'Content calendar'!$P$7:$P$506,0))),"00")&amp;":"&amp;TEXT(MINUTE(INDEX('Content calendar'!$B$7:$B$506,MATCH(325,'Content calendar'!$P$7:$P$506,0))),"00"),"")</f>
        <v/>
      </c>
      <c r="C326" s="49">
        <f>IFERROR(INDEX('Content calendar'!$K$7:$K$506,MATCH(325,'Content calendar'!$P$7:$P$506,0))&amp;"","")</f>
        <v/>
      </c>
      <c r="D326" s="49">
        <f>IFERROR(INDEX('Content calendar'!$L$7:$L$506,MATCH(325,'Content calendar'!$P$7:$P$506,0))&amp;"","")</f>
        <v/>
      </c>
      <c r="E326" s="49">
        <f>IFERROR(INDEX('Content calendar'!$O$7:$O$506,MATCH(325,'Content calendar'!$P$7:$P$506,0))&amp;"","")</f>
        <v/>
      </c>
    </row>
    <row r="327">
      <c r="A327" s="49">
        <f>IFERROR(INDEX('Content calendar'!$H$7:$H$506,MATCH(326,'Content calendar'!$P$7:$P$506,0))&amp;"","")</f>
        <v/>
      </c>
      <c r="B327" s="49">
        <f>IFERROR(YEAR(INDEX('Content calendar'!$A$7:$A$506,MATCH(326,'Content calendar'!$P$7:$P$506,0)))&amp;"-"&amp;TEXT(MONTH(INDEX('Content calendar'!$A$7:$A$506,MATCH(326,'Content calendar'!$P$7:$P$506,0))),"00")&amp;"-"&amp;TEXT(DAY(INDEX('Content calendar'!$A$7:$A$506,MATCH(326,'Content calendar'!$P$7:$P$506,0))),"00")&amp;" "&amp;TEXT(HOUR(INDEX('Content calendar'!$B$7:$B$506,MATCH(326,'Content calendar'!$P$7:$P$506,0))),"00")&amp;":"&amp;TEXT(MINUTE(INDEX('Content calendar'!$B$7:$B$506,MATCH(326,'Content calendar'!$P$7:$P$506,0))),"00"),"")</f>
        <v/>
      </c>
      <c r="C327" s="49">
        <f>IFERROR(INDEX('Content calendar'!$K$7:$K$506,MATCH(326,'Content calendar'!$P$7:$P$506,0))&amp;"","")</f>
        <v/>
      </c>
      <c r="D327" s="49">
        <f>IFERROR(INDEX('Content calendar'!$L$7:$L$506,MATCH(326,'Content calendar'!$P$7:$P$506,0))&amp;"","")</f>
        <v/>
      </c>
      <c r="E327" s="49">
        <f>IFERROR(INDEX('Content calendar'!$O$7:$O$506,MATCH(326,'Content calendar'!$P$7:$P$506,0))&amp;"","")</f>
        <v/>
      </c>
    </row>
    <row r="328">
      <c r="A328" s="49">
        <f>IFERROR(INDEX('Content calendar'!$H$7:$H$506,MATCH(327,'Content calendar'!$P$7:$P$506,0))&amp;"","")</f>
        <v/>
      </c>
      <c r="B328" s="49">
        <f>IFERROR(YEAR(INDEX('Content calendar'!$A$7:$A$506,MATCH(327,'Content calendar'!$P$7:$P$506,0)))&amp;"-"&amp;TEXT(MONTH(INDEX('Content calendar'!$A$7:$A$506,MATCH(327,'Content calendar'!$P$7:$P$506,0))),"00")&amp;"-"&amp;TEXT(DAY(INDEX('Content calendar'!$A$7:$A$506,MATCH(327,'Content calendar'!$P$7:$P$506,0))),"00")&amp;" "&amp;TEXT(HOUR(INDEX('Content calendar'!$B$7:$B$506,MATCH(327,'Content calendar'!$P$7:$P$506,0))),"00")&amp;":"&amp;TEXT(MINUTE(INDEX('Content calendar'!$B$7:$B$506,MATCH(327,'Content calendar'!$P$7:$P$506,0))),"00"),"")</f>
        <v/>
      </c>
      <c r="C328" s="49">
        <f>IFERROR(INDEX('Content calendar'!$K$7:$K$506,MATCH(327,'Content calendar'!$P$7:$P$506,0))&amp;"","")</f>
        <v/>
      </c>
      <c r="D328" s="49">
        <f>IFERROR(INDEX('Content calendar'!$L$7:$L$506,MATCH(327,'Content calendar'!$P$7:$P$506,0))&amp;"","")</f>
        <v/>
      </c>
      <c r="E328" s="49">
        <f>IFERROR(INDEX('Content calendar'!$O$7:$O$506,MATCH(327,'Content calendar'!$P$7:$P$506,0))&amp;"","")</f>
        <v/>
      </c>
    </row>
    <row r="329">
      <c r="A329" s="49">
        <f>IFERROR(INDEX('Content calendar'!$H$7:$H$506,MATCH(328,'Content calendar'!$P$7:$P$506,0))&amp;"","")</f>
        <v/>
      </c>
      <c r="B329" s="49">
        <f>IFERROR(YEAR(INDEX('Content calendar'!$A$7:$A$506,MATCH(328,'Content calendar'!$P$7:$P$506,0)))&amp;"-"&amp;TEXT(MONTH(INDEX('Content calendar'!$A$7:$A$506,MATCH(328,'Content calendar'!$P$7:$P$506,0))),"00")&amp;"-"&amp;TEXT(DAY(INDEX('Content calendar'!$A$7:$A$506,MATCH(328,'Content calendar'!$P$7:$P$506,0))),"00")&amp;" "&amp;TEXT(HOUR(INDEX('Content calendar'!$B$7:$B$506,MATCH(328,'Content calendar'!$P$7:$P$506,0))),"00")&amp;":"&amp;TEXT(MINUTE(INDEX('Content calendar'!$B$7:$B$506,MATCH(328,'Content calendar'!$P$7:$P$506,0))),"00"),"")</f>
        <v/>
      </c>
      <c r="C329" s="49">
        <f>IFERROR(INDEX('Content calendar'!$K$7:$K$506,MATCH(328,'Content calendar'!$P$7:$P$506,0))&amp;"","")</f>
        <v/>
      </c>
      <c r="D329" s="49">
        <f>IFERROR(INDEX('Content calendar'!$L$7:$L$506,MATCH(328,'Content calendar'!$P$7:$P$506,0))&amp;"","")</f>
        <v/>
      </c>
      <c r="E329" s="49">
        <f>IFERROR(INDEX('Content calendar'!$O$7:$O$506,MATCH(328,'Content calendar'!$P$7:$P$506,0))&amp;"","")</f>
        <v/>
      </c>
    </row>
    <row r="330">
      <c r="A330" s="49">
        <f>IFERROR(INDEX('Content calendar'!$H$7:$H$506,MATCH(329,'Content calendar'!$P$7:$P$506,0))&amp;"","")</f>
        <v/>
      </c>
      <c r="B330" s="49">
        <f>IFERROR(YEAR(INDEX('Content calendar'!$A$7:$A$506,MATCH(329,'Content calendar'!$P$7:$P$506,0)))&amp;"-"&amp;TEXT(MONTH(INDEX('Content calendar'!$A$7:$A$506,MATCH(329,'Content calendar'!$P$7:$P$506,0))),"00")&amp;"-"&amp;TEXT(DAY(INDEX('Content calendar'!$A$7:$A$506,MATCH(329,'Content calendar'!$P$7:$P$506,0))),"00")&amp;" "&amp;TEXT(HOUR(INDEX('Content calendar'!$B$7:$B$506,MATCH(329,'Content calendar'!$P$7:$P$506,0))),"00")&amp;":"&amp;TEXT(MINUTE(INDEX('Content calendar'!$B$7:$B$506,MATCH(329,'Content calendar'!$P$7:$P$506,0))),"00"),"")</f>
        <v/>
      </c>
      <c r="C330" s="49">
        <f>IFERROR(INDEX('Content calendar'!$K$7:$K$506,MATCH(329,'Content calendar'!$P$7:$P$506,0))&amp;"","")</f>
        <v/>
      </c>
      <c r="D330" s="49">
        <f>IFERROR(INDEX('Content calendar'!$L$7:$L$506,MATCH(329,'Content calendar'!$P$7:$P$506,0))&amp;"","")</f>
        <v/>
      </c>
      <c r="E330" s="49">
        <f>IFERROR(INDEX('Content calendar'!$O$7:$O$506,MATCH(329,'Content calendar'!$P$7:$P$506,0))&amp;"","")</f>
        <v/>
      </c>
    </row>
    <row r="331">
      <c r="A331" s="49">
        <f>IFERROR(INDEX('Content calendar'!$H$7:$H$506,MATCH(330,'Content calendar'!$P$7:$P$506,0))&amp;"","")</f>
        <v/>
      </c>
      <c r="B331" s="49">
        <f>IFERROR(YEAR(INDEX('Content calendar'!$A$7:$A$506,MATCH(330,'Content calendar'!$P$7:$P$506,0)))&amp;"-"&amp;TEXT(MONTH(INDEX('Content calendar'!$A$7:$A$506,MATCH(330,'Content calendar'!$P$7:$P$506,0))),"00")&amp;"-"&amp;TEXT(DAY(INDEX('Content calendar'!$A$7:$A$506,MATCH(330,'Content calendar'!$P$7:$P$506,0))),"00")&amp;" "&amp;TEXT(HOUR(INDEX('Content calendar'!$B$7:$B$506,MATCH(330,'Content calendar'!$P$7:$P$506,0))),"00")&amp;":"&amp;TEXT(MINUTE(INDEX('Content calendar'!$B$7:$B$506,MATCH(330,'Content calendar'!$P$7:$P$506,0))),"00"),"")</f>
        <v/>
      </c>
      <c r="C331" s="49">
        <f>IFERROR(INDEX('Content calendar'!$K$7:$K$506,MATCH(330,'Content calendar'!$P$7:$P$506,0))&amp;"","")</f>
        <v/>
      </c>
      <c r="D331" s="49">
        <f>IFERROR(INDEX('Content calendar'!$L$7:$L$506,MATCH(330,'Content calendar'!$P$7:$P$506,0))&amp;"","")</f>
        <v/>
      </c>
      <c r="E331" s="49">
        <f>IFERROR(INDEX('Content calendar'!$O$7:$O$506,MATCH(330,'Content calendar'!$P$7:$P$506,0))&amp;"","")</f>
        <v/>
      </c>
    </row>
    <row r="332">
      <c r="A332" s="49">
        <f>IFERROR(INDEX('Content calendar'!$H$7:$H$506,MATCH(331,'Content calendar'!$P$7:$P$506,0))&amp;"","")</f>
        <v/>
      </c>
      <c r="B332" s="49">
        <f>IFERROR(YEAR(INDEX('Content calendar'!$A$7:$A$506,MATCH(331,'Content calendar'!$P$7:$P$506,0)))&amp;"-"&amp;TEXT(MONTH(INDEX('Content calendar'!$A$7:$A$506,MATCH(331,'Content calendar'!$P$7:$P$506,0))),"00")&amp;"-"&amp;TEXT(DAY(INDEX('Content calendar'!$A$7:$A$506,MATCH(331,'Content calendar'!$P$7:$P$506,0))),"00")&amp;" "&amp;TEXT(HOUR(INDEX('Content calendar'!$B$7:$B$506,MATCH(331,'Content calendar'!$P$7:$P$506,0))),"00")&amp;":"&amp;TEXT(MINUTE(INDEX('Content calendar'!$B$7:$B$506,MATCH(331,'Content calendar'!$P$7:$P$506,0))),"00"),"")</f>
        <v/>
      </c>
      <c r="C332" s="49">
        <f>IFERROR(INDEX('Content calendar'!$K$7:$K$506,MATCH(331,'Content calendar'!$P$7:$P$506,0))&amp;"","")</f>
        <v/>
      </c>
      <c r="D332" s="49">
        <f>IFERROR(INDEX('Content calendar'!$L$7:$L$506,MATCH(331,'Content calendar'!$P$7:$P$506,0))&amp;"","")</f>
        <v/>
      </c>
      <c r="E332" s="49">
        <f>IFERROR(INDEX('Content calendar'!$O$7:$O$506,MATCH(331,'Content calendar'!$P$7:$P$506,0))&amp;"","")</f>
        <v/>
      </c>
    </row>
    <row r="333">
      <c r="A333" s="49">
        <f>IFERROR(INDEX('Content calendar'!$H$7:$H$506,MATCH(332,'Content calendar'!$P$7:$P$506,0))&amp;"","")</f>
        <v/>
      </c>
      <c r="B333" s="49">
        <f>IFERROR(YEAR(INDEX('Content calendar'!$A$7:$A$506,MATCH(332,'Content calendar'!$P$7:$P$506,0)))&amp;"-"&amp;TEXT(MONTH(INDEX('Content calendar'!$A$7:$A$506,MATCH(332,'Content calendar'!$P$7:$P$506,0))),"00")&amp;"-"&amp;TEXT(DAY(INDEX('Content calendar'!$A$7:$A$506,MATCH(332,'Content calendar'!$P$7:$P$506,0))),"00")&amp;" "&amp;TEXT(HOUR(INDEX('Content calendar'!$B$7:$B$506,MATCH(332,'Content calendar'!$P$7:$P$506,0))),"00")&amp;":"&amp;TEXT(MINUTE(INDEX('Content calendar'!$B$7:$B$506,MATCH(332,'Content calendar'!$P$7:$P$506,0))),"00"),"")</f>
        <v/>
      </c>
      <c r="C333" s="49">
        <f>IFERROR(INDEX('Content calendar'!$K$7:$K$506,MATCH(332,'Content calendar'!$P$7:$P$506,0))&amp;"","")</f>
        <v/>
      </c>
      <c r="D333" s="49">
        <f>IFERROR(INDEX('Content calendar'!$L$7:$L$506,MATCH(332,'Content calendar'!$P$7:$P$506,0))&amp;"","")</f>
        <v/>
      </c>
      <c r="E333" s="49">
        <f>IFERROR(INDEX('Content calendar'!$O$7:$O$506,MATCH(332,'Content calendar'!$P$7:$P$506,0))&amp;"","")</f>
        <v/>
      </c>
    </row>
    <row r="334">
      <c r="A334" s="49">
        <f>IFERROR(INDEX('Content calendar'!$H$7:$H$506,MATCH(333,'Content calendar'!$P$7:$P$506,0))&amp;"","")</f>
        <v/>
      </c>
      <c r="B334" s="49">
        <f>IFERROR(YEAR(INDEX('Content calendar'!$A$7:$A$506,MATCH(333,'Content calendar'!$P$7:$P$506,0)))&amp;"-"&amp;TEXT(MONTH(INDEX('Content calendar'!$A$7:$A$506,MATCH(333,'Content calendar'!$P$7:$P$506,0))),"00")&amp;"-"&amp;TEXT(DAY(INDEX('Content calendar'!$A$7:$A$506,MATCH(333,'Content calendar'!$P$7:$P$506,0))),"00")&amp;" "&amp;TEXT(HOUR(INDEX('Content calendar'!$B$7:$B$506,MATCH(333,'Content calendar'!$P$7:$P$506,0))),"00")&amp;":"&amp;TEXT(MINUTE(INDEX('Content calendar'!$B$7:$B$506,MATCH(333,'Content calendar'!$P$7:$P$506,0))),"00"),"")</f>
        <v/>
      </c>
      <c r="C334" s="49">
        <f>IFERROR(INDEX('Content calendar'!$K$7:$K$506,MATCH(333,'Content calendar'!$P$7:$P$506,0))&amp;"","")</f>
        <v/>
      </c>
      <c r="D334" s="49">
        <f>IFERROR(INDEX('Content calendar'!$L$7:$L$506,MATCH(333,'Content calendar'!$P$7:$P$506,0))&amp;"","")</f>
        <v/>
      </c>
      <c r="E334" s="49">
        <f>IFERROR(INDEX('Content calendar'!$O$7:$O$506,MATCH(333,'Content calendar'!$P$7:$P$506,0))&amp;"","")</f>
        <v/>
      </c>
    </row>
    <row r="335">
      <c r="A335" s="49">
        <f>IFERROR(INDEX('Content calendar'!$H$7:$H$506,MATCH(334,'Content calendar'!$P$7:$P$506,0))&amp;"","")</f>
        <v/>
      </c>
      <c r="B335" s="49">
        <f>IFERROR(YEAR(INDEX('Content calendar'!$A$7:$A$506,MATCH(334,'Content calendar'!$P$7:$P$506,0)))&amp;"-"&amp;TEXT(MONTH(INDEX('Content calendar'!$A$7:$A$506,MATCH(334,'Content calendar'!$P$7:$P$506,0))),"00")&amp;"-"&amp;TEXT(DAY(INDEX('Content calendar'!$A$7:$A$506,MATCH(334,'Content calendar'!$P$7:$P$506,0))),"00")&amp;" "&amp;TEXT(HOUR(INDEX('Content calendar'!$B$7:$B$506,MATCH(334,'Content calendar'!$P$7:$P$506,0))),"00")&amp;":"&amp;TEXT(MINUTE(INDEX('Content calendar'!$B$7:$B$506,MATCH(334,'Content calendar'!$P$7:$P$506,0))),"00"),"")</f>
        <v/>
      </c>
      <c r="C335" s="49">
        <f>IFERROR(INDEX('Content calendar'!$K$7:$K$506,MATCH(334,'Content calendar'!$P$7:$P$506,0))&amp;"","")</f>
        <v/>
      </c>
      <c r="D335" s="49">
        <f>IFERROR(INDEX('Content calendar'!$L$7:$L$506,MATCH(334,'Content calendar'!$P$7:$P$506,0))&amp;"","")</f>
        <v/>
      </c>
      <c r="E335" s="49">
        <f>IFERROR(INDEX('Content calendar'!$O$7:$O$506,MATCH(334,'Content calendar'!$P$7:$P$506,0))&amp;"","")</f>
        <v/>
      </c>
    </row>
    <row r="336">
      <c r="A336" s="49">
        <f>IFERROR(INDEX('Content calendar'!$H$7:$H$506,MATCH(335,'Content calendar'!$P$7:$P$506,0))&amp;"","")</f>
        <v/>
      </c>
      <c r="B336" s="49">
        <f>IFERROR(YEAR(INDEX('Content calendar'!$A$7:$A$506,MATCH(335,'Content calendar'!$P$7:$P$506,0)))&amp;"-"&amp;TEXT(MONTH(INDEX('Content calendar'!$A$7:$A$506,MATCH(335,'Content calendar'!$P$7:$P$506,0))),"00")&amp;"-"&amp;TEXT(DAY(INDEX('Content calendar'!$A$7:$A$506,MATCH(335,'Content calendar'!$P$7:$P$506,0))),"00")&amp;" "&amp;TEXT(HOUR(INDEX('Content calendar'!$B$7:$B$506,MATCH(335,'Content calendar'!$P$7:$P$506,0))),"00")&amp;":"&amp;TEXT(MINUTE(INDEX('Content calendar'!$B$7:$B$506,MATCH(335,'Content calendar'!$P$7:$P$506,0))),"00"),"")</f>
        <v/>
      </c>
      <c r="C336" s="49">
        <f>IFERROR(INDEX('Content calendar'!$K$7:$K$506,MATCH(335,'Content calendar'!$P$7:$P$506,0))&amp;"","")</f>
        <v/>
      </c>
      <c r="D336" s="49">
        <f>IFERROR(INDEX('Content calendar'!$L$7:$L$506,MATCH(335,'Content calendar'!$P$7:$P$506,0))&amp;"","")</f>
        <v/>
      </c>
      <c r="E336" s="49">
        <f>IFERROR(INDEX('Content calendar'!$O$7:$O$506,MATCH(335,'Content calendar'!$P$7:$P$506,0))&amp;"","")</f>
        <v/>
      </c>
    </row>
    <row r="337">
      <c r="A337" s="49">
        <f>IFERROR(INDEX('Content calendar'!$H$7:$H$506,MATCH(336,'Content calendar'!$P$7:$P$506,0))&amp;"","")</f>
        <v/>
      </c>
      <c r="B337" s="49">
        <f>IFERROR(YEAR(INDEX('Content calendar'!$A$7:$A$506,MATCH(336,'Content calendar'!$P$7:$P$506,0)))&amp;"-"&amp;TEXT(MONTH(INDEX('Content calendar'!$A$7:$A$506,MATCH(336,'Content calendar'!$P$7:$P$506,0))),"00")&amp;"-"&amp;TEXT(DAY(INDEX('Content calendar'!$A$7:$A$506,MATCH(336,'Content calendar'!$P$7:$P$506,0))),"00")&amp;" "&amp;TEXT(HOUR(INDEX('Content calendar'!$B$7:$B$506,MATCH(336,'Content calendar'!$P$7:$P$506,0))),"00")&amp;":"&amp;TEXT(MINUTE(INDEX('Content calendar'!$B$7:$B$506,MATCH(336,'Content calendar'!$P$7:$P$506,0))),"00"),"")</f>
        <v/>
      </c>
      <c r="C337" s="49">
        <f>IFERROR(INDEX('Content calendar'!$K$7:$K$506,MATCH(336,'Content calendar'!$P$7:$P$506,0))&amp;"","")</f>
        <v/>
      </c>
      <c r="D337" s="49">
        <f>IFERROR(INDEX('Content calendar'!$L$7:$L$506,MATCH(336,'Content calendar'!$P$7:$P$506,0))&amp;"","")</f>
        <v/>
      </c>
      <c r="E337" s="49">
        <f>IFERROR(INDEX('Content calendar'!$O$7:$O$506,MATCH(336,'Content calendar'!$P$7:$P$506,0))&amp;"","")</f>
        <v/>
      </c>
    </row>
    <row r="338">
      <c r="A338" s="49">
        <f>IFERROR(INDEX('Content calendar'!$H$7:$H$506,MATCH(337,'Content calendar'!$P$7:$P$506,0))&amp;"","")</f>
        <v/>
      </c>
      <c r="B338" s="49">
        <f>IFERROR(YEAR(INDEX('Content calendar'!$A$7:$A$506,MATCH(337,'Content calendar'!$P$7:$P$506,0)))&amp;"-"&amp;TEXT(MONTH(INDEX('Content calendar'!$A$7:$A$506,MATCH(337,'Content calendar'!$P$7:$P$506,0))),"00")&amp;"-"&amp;TEXT(DAY(INDEX('Content calendar'!$A$7:$A$506,MATCH(337,'Content calendar'!$P$7:$P$506,0))),"00")&amp;" "&amp;TEXT(HOUR(INDEX('Content calendar'!$B$7:$B$506,MATCH(337,'Content calendar'!$P$7:$P$506,0))),"00")&amp;":"&amp;TEXT(MINUTE(INDEX('Content calendar'!$B$7:$B$506,MATCH(337,'Content calendar'!$P$7:$P$506,0))),"00"),"")</f>
        <v/>
      </c>
      <c r="C338" s="49">
        <f>IFERROR(INDEX('Content calendar'!$K$7:$K$506,MATCH(337,'Content calendar'!$P$7:$P$506,0))&amp;"","")</f>
        <v/>
      </c>
      <c r="D338" s="49">
        <f>IFERROR(INDEX('Content calendar'!$L$7:$L$506,MATCH(337,'Content calendar'!$P$7:$P$506,0))&amp;"","")</f>
        <v/>
      </c>
      <c r="E338" s="49">
        <f>IFERROR(INDEX('Content calendar'!$O$7:$O$506,MATCH(337,'Content calendar'!$P$7:$P$506,0))&amp;"","")</f>
        <v/>
      </c>
    </row>
    <row r="339">
      <c r="A339" s="49">
        <f>IFERROR(INDEX('Content calendar'!$H$7:$H$506,MATCH(338,'Content calendar'!$P$7:$P$506,0))&amp;"","")</f>
        <v/>
      </c>
      <c r="B339" s="49">
        <f>IFERROR(YEAR(INDEX('Content calendar'!$A$7:$A$506,MATCH(338,'Content calendar'!$P$7:$P$506,0)))&amp;"-"&amp;TEXT(MONTH(INDEX('Content calendar'!$A$7:$A$506,MATCH(338,'Content calendar'!$P$7:$P$506,0))),"00")&amp;"-"&amp;TEXT(DAY(INDEX('Content calendar'!$A$7:$A$506,MATCH(338,'Content calendar'!$P$7:$P$506,0))),"00")&amp;" "&amp;TEXT(HOUR(INDEX('Content calendar'!$B$7:$B$506,MATCH(338,'Content calendar'!$P$7:$P$506,0))),"00")&amp;":"&amp;TEXT(MINUTE(INDEX('Content calendar'!$B$7:$B$506,MATCH(338,'Content calendar'!$P$7:$P$506,0))),"00"),"")</f>
        <v/>
      </c>
      <c r="C339" s="49">
        <f>IFERROR(INDEX('Content calendar'!$K$7:$K$506,MATCH(338,'Content calendar'!$P$7:$P$506,0))&amp;"","")</f>
        <v/>
      </c>
      <c r="D339" s="49">
        <f>IFERROR(INDEX('Content calendar'!$L$7:$L$506,MATCH(338,'Content calendar'!$P$7:$P$506,0))&amp;"","")</f>
        <v/>
      </c>
      <c r="E339" s="49">
        <f>IFERROR(INDEX('Content calendar'!$O$7:$O$506,MATCH(338,'Content calendar'!$P$7:$P$506,0))&amp;"","")</f>
        <v/>
      </c>
    </row>
    <row r="340">
      <c r="A340" s="49">
        <f>IFERROR(INDEX('Content calendar'!$H$7:$H$506,MATCH(339,'Content calendar'!$P$7:$P$506,0))&amp;"","")</f>
        <v/>
      </c>
      <c r="B340" s="49">
        <f>IFERROR(YEAR(INDEX('Content calendar'!$A$7:$A$506,MATCH(339,'Content calendar'!$P$7:$P$506,0)))&amp;"-"&amp;TEXT(MONTH(INDEX('Content calendar'!$A$7:$A$506,MATCH(339,'Content calendar'!$P$7:$P$506,0))),"00")&amp;"-"&amp;TEXT(DAY(INDEX('Content calendar'!$A$7:$A$506,MATCH(339,'Content calendar'!$P$7:$P$506,0))),"00")&amp;" "&amp;TEXT(HOUR(INDEX('Content calendar'!$B$7:$B$506,MATCH(339,'Content calendar'!$P$7:$P$506,0))),"00")&amp;":"&amp;TEXT(MINUTE(INDEX('Content calendar'!$B$7:$B$506,MATCH(339,'Content calendar'!$P$7:$P$506,0))),"00"),"")</f>
        <v/>
      </c>
      <c r="C340" s="49">
        <f>IFERROR(INDEX('Content calendar'!$K$7:$K$506,MATCH(339,'Content calendar'!$P$7:$P$506,0))&amp;"","")</f>
        <v/>
      </c>
      <c r="D340" s="49">
        <f>IFERROR(INDEX('Content calendar'!$L$7:$L$506,MATCH(339,'Content calendar'!$P$7:$P$506,0))&amp;"","")</f>
        <v/>
      </c>
      <c r="E340" s="49">
        <f>IFERROR(INDEX('Content calendar'!$O$7:$O$506,MATCH(339,'Content calendar'!$P$7:$P$506,0))&amp;"","")</f>
        <v/>
      </c>
    </row>
    <row r="341">
      <c r="A341" s="49">
        <f>IFERROR(INDEX('Content calendar'!$H$7:$H$506,MATCH(340,'Content calendar'!$P$7:$P$506,0))&amp;"","")</f>
        <v/>
      </c>
      <c r="B341" s="49">
        <f>IFERROR(YEAR(INDEX('Content calendar'!$A$7:$A$506,MATCH(340,'Content calendar'!$P$7:$P$506,0)))&amp;"-"&amp;TEXT(MONTH(INDEX('Content calendar'!$A$7:$A$506,MATCH(340,'Content calendar'!$P$7:$P$506,0))),"00")&amp;"-"&amp;TEXT(DAY(INDEX('Content calendar'!$A$7:$A$506,MATCH(340,'Content calendar'!$P$7:$P$506,0))),"00")&amp;" "&amp;TEXT(HOUR(INDEX('Content calendar'!$B$7:$B$506,MATCH(340,'Content calendar'!$P$7:$P$506,0))),"00")&amp;":"&amp;TEXT(MINUTE(INDEX('Content calendar'!$B$7:$B$506,MATCH(340,'Content calendar'!$P$7:$P$506,0))),"00"),"")</f>
        <v/>
      </c>
      <c r="C341" s="49">
        <f>IFERROR(INDEX('Content calendar'!$K$7:$K$506,MATCH(340,'Content calendar'!$P$7:$P$506,0))&amp;"","")</f>
        <v/>
      </c>
      <c r="D341" s="49">
        <f>IFERROR(INDEX('Content calendar'!$L$7:$L$506,MATCH(340,'Content calendar'!$P$7:$P$506,0))&amp;"","")</f>
        <v/>
      </c>
      <c r="E341" s="49">
        <f>IFERROR(INDEX('Content calendar'!$O$7:$O$506,MATCH(340,'Content calendar'!$P$7:$P$506,0))&amp;"","")</f>
        <v/>
      </c>
    </row>
    <row r="342">
      <c r="A342" s="49">
        <f>IFERROR(INDEX('Content calendar'!$H$7:$H$506,MATCH(341,'Content calendar'!$P$7:$P$506,0))&amp;"","")</f>
        <v/>
      </c>
      <c r="B342" s="49">
        <f>IFERROR(YEAR(INDEX('Content calendar'!$A$7:$A$506,MATCH(341,'Content calendar'!$P$7:$P$506,0)))&amp;"-"&amp;TEXT(MONTH(INDEX('Content calendar'!$A$7:$A$506,MATCH(341,'Content calendar'!$P$7:$P$506,0))),"00")&amp;"-"&amp;TEXT(DAY(INDEX('Content calendar'!$A$7:$A$506,MATCH(341,'Content calendar'!$P$7:$P$506,0))),"00")&amp;" "&amp;TEXT(HOUR(INDEX('Content calendar'!$B$7:$B$506,MATCH(341,'Content calendar'!$P$7:$P$506,0))),"00")&amp;":"&amp;TEXT(MINUTE(INDEX('Content calendar'!$B$7:$B$506,MATCH(341,'Content calendar'!$P$7:$P$506,0))),"00"),"")</f>
        <v/>
      </c>
      <c r="C342" s="49">
        <f>IFERROR(INDEX('Content calendar'!$K$7:$K$506,MATCH(341,'Content calendar'!$P$7:$P$506,0))&amp;"","")</f>
        <v/>
      </c>
      <c r="D342" s="49">
        <f>IFERROR(INDEX('Content calendar'!$L$7:$L$506,MATCH(341,'Content calendar'!$P$7:$P$506,0))&amp;"","")</f>
        <v/>
      </c>
      <c r="E342" s="49">
        <f>IFERROR(INDEX('Content calendar'!$O$7:$O$506,MATCH(341,'Content calendar'!$P$7:$P$506,0))&amp;"","")</f>
        <v/>
      </c>
    </row>
    <row r="343">
      <c r="A343" s="49">
        <f>IFERROR(INDEX('Content calendar'!$H$7:$H$506,MATCH(342,'Content calendar'!$P$7:$P$506,0))&amp;"","")</f>
        <v/>
      </c>
      <c r="B343" s="49">
        <f>IFERROR(YEAR(INDEX('Content calendar'!$A$7:$A$506,MATCH(342,'Content calendar'!$P$7:$P$506,0)))&amp;"-"&amp;TEXT(MONTH(INDEX('Content calendar'!$A$7:$A$506,MATCH(342,'Content calendar'!$P$7:$P$506,0))),"00")&amp;"-"&amp;TEXT(DAY(INDEX('Content calendar'!$A$7:$A$506,MATCH(342,'Content calendar'!$P$7:$P$506,0))),"00")&amp;" "&amp;TEXT(HOUR(INDEX('Content calendar'!$B$7:$B$506,MATCH(342,'Content calendar'!$P$7:$P$506,0))),"00")&amp;":"&amp;TEXT(MINUTE(INDEX('Content calendar'!$B$7:$B$506,MATCH(342,'Content calendar'!$P$7:$P$506,0))),"00"),"")</f>
        <v/>
      </c>
      <c r="C343" s="49">
        <f>IFERROR(INDEX('Content calendar'!$K$7:$K$506,MATCH(342,'Content calendar'!$P$7:$P$506,0))&amp;"","")</f>
        <v/>
      </c>
      <c r="D343" s="49">
        <f>IFERROR(INDEX('Content calendar'!$L$7:$L$506,MATCH(342,'Content calendar'!$P$7:$P$506,0))&amp;"","")</f>
        <v/>
      </c>
      <c r="E343" s="49">
        <f>IFERROR(INDEX('Content calendar'!$O$7:$O$506,MATCH(342,'Content calendar'!$P$7:$P$506,0))&amp;"","")</f>
        <v/>
      </c>
    </row>
    <row r="344">
      <c r="A344" s="49">
        <f>IFERROR(INDEX('Content calendar'!$H$7:$H$506,MATCH(343,'Content calendar'!$P$7:$P$506,0))&amp;"","")</f>
        <v/>
      </c>
      <c r="B344" s="49">
        <f>IFERROR(YEAR(INDEX('Content calendar'!$A$7:$A$506,MATCH(343,'Content calendar'!$P$7:$P$506,0)))&amp;"-"&amp;TEXT(MONTH(INDEX('Content calendar'!$A$7:$A$506,MATCH(343,'Content calendar'!$P$7:$P$506,0))),"00")&amp;"-"&amp;TEXT(DAY(INDEX('Content calendar'!$A$7:$A$506,MATCH(343,'Content calendar'!$P$7:$P$506,0))),"00")&amp;" "&amp;TEXT(HOUR(INDEX('Content calendar'!$B$7:$B$506,MATCH(343,'Content calendar'!$P$7:$P$506,0))),"00")&amp;":"&amp;TEXT(MINUTE(INDEX('Content calendar'!$B$7:$B$506,MATCH(343,'Content calendar'!$P$7:$P$506,0))),"00"),"")</f>
        <v/>
      </c>
      <c r="C344" s="49">
        <f>IFERROR(INDEX('Content calendar'!$K$7:$K$506,MATCH(343,'Content calendar'!$P$7:$P$506,0))&amp;"","")</f>
        <v/>
      </c>
      <c r="D344" s="49">
        <f>IFERROR(INDEX('Content calendar'!$L$7:$L$506,MATCH(343,'Content calendar'!$P$7:$P$506,0))&amp;"","")</f>
        <v/>
      </c>
      <c r="E344" s="49">
        <f>IFERROR(INDEX('Content calendar'!$O$7:$O$506,MATCH(343,'Content calendar'!$P$7:$P$506,0))&amp;"","")</f>
        <v/>
      </c>
    </row>
    <row r="345">
      <c r="A345" s="49">
        <f>IFERROR(INDEX('Content calendar'!$H$7:$H$506,MATCH(344,'Content calendar'!$P$7:$P$506,0))&amp;"","")</f>
        <v/>
      </c>
      <c r="B345" s="49">
        <f>IFERROR(YEAR(INDEX('Content calendar'!$A$7:$A$506,MATCH(344,'Content calendar'!$P$7:$P$506,0)))&amp;"-"&amp;TEXT(MONTH(INDEX('Content calendar'!$A$7:$A$506,MATCH(344,'Content calendar'!$P$7:$P$506,0))),"00")&amp;"-"&amp;TEXT(DAY(INDEX('Content calendar'!$A$7:$A$506,MATCH(344,'Content calendar'!$P$7:$P$506,0))),"00")&amp;" "&amp;TEXT(HOUR(INDEX('Content calendar'!$B$7:$B$506,MATCH(344,'Content calendar'!$P$7:$P$506,0))),"00")&amp;":"&amp;TEXT(MINUTE(INDEX('Content calendar'!$B$7:$B$506,MATCH(344,'Content calendar'!$P$7:$P$506,0))),"00"),"")</f>
        <v/>
      </c>
      <c r="C345" s="49">
        <f>IFERROR(INDEX('Content calendar'!$K$7:$K$506,MATCH(344,'Content calendar'!$P$7:$P$506,0))&amp;"","")</f>
        <v/>
      </c>
      <c r="D345" s="49">
        <f>IFERROR(INDEX('Content calendar'!$L$7:$L$506,MATCH(344,'Content calendar'!$P$7:$P$506,0))&amp;"","")</f>
        <v/>
      </c>
      <c r="E345" s="49">
        <f>IFERROR(INDEX('Content calendar'!$O$7:$O$506,MATCH(344,'Content calendar'!$P$7:$P$506,0))&amp;"","")</f>
        <v/>
      </c>
    </row>
    <row r="346">
      <c r="A346" s="49">
        <f>IFERROR(INDEX('Content calendar'!$H$7:$H$506,MATCH(345,'Content calendar'!$P$7:$P$506,0))&amp;"","")</f>
        <v/>
      </c>
      <c r="B346" s="49">
        <f>IFERROR(YEAR(INDEX('Content calendar'!$A$7:$A$506,MATCH(345,'Content calendar'!$P$7:$P$506,0)))&amp;"-"&amp;TEXT(MONTH(INDEX('Content calendar'!$A$7:$A$506,MATCH(345,'Content calendar'!$P$7:$P$506,0))),"00")&amp;"-"&amp;TEXT(DAY(INDEX('Content calendar'!$A$7:$A$506,MATCH(345,'Content calendar'!$P$7:$P$506,0))),"00")&amp;" "&amp;TEXT(HOUR(INDEX('Content calendar'!$B$7:$B$506,MATCH(345,'Content calendar'!$P$7:$P$506,0))),"00")&amp;":"&amp;TEXT(MINUTE(INDEX('Content calendar'!$B$7:$B$506,MATCH(345,'Content calendar'!$P$7:$P$506,0))),"00"),"")</f>
        <v/>
      </c>
      <c r="C346" s="49">
        <f>IFERROR(INDEX('Content calendar'!$K$7:$K$506,MATCH(345,'Content calendar'!$P$7:$P$506,0))&amp;"","")</f>
        <v/>
      </c>
      <c r="D346" s="49">
        <f>IFERROR(INDEX('Content calendar'!$L$7:$L$506,MATCH(345,'Content calendar'!$P$7:$P$506,0))&amp;"","")</f>
        <v/>
      </c>
      <c r="E346" s="49">
        <f>IFERROR(INDEX('Content calendar'!$O$7:$O$506,MATCH(345,'Content calendar'!$P$7:$P$506,0))&amp;"","")</f>
        <v/>
      </c>
    </row>
    <row r="347">
      <c r="A347" s="49">
        <f>IFERROR(INDEX('Content calendar'!$H$7:$H$506,MATCH(346,'Content calendar'!$P$7:$P$506,0))&amp;"","")</f>
        <v/>
      </c>
      <c r="B347" s="49">
        <f>IFERROR(YEAR(INDEX('Content calendar'!$A$7:$A$506,MATCH(346,'Content calendar'!$P$7:$P$506,0)))&amp;"-"&amp;TEXT(MONTH(INDEX('Content calendar'!$A$7:$A$506,MATCH(346,'Content calendar'!$P$7:$P$506,0))),"00")&amp;"-"&amp;TEXT(DAY(INDEX('Content calendar'!$A$7:$A$506,MATCH(346,'Content calendar'!$P$7:$P$506,0))),"00")&amp;" "&amp;TEXT(HOUR(INDEX('Content calendar'!$B$7:$B$506,MATCH(346,'Content calendar'!$P$7:$P$506,0))),"00")&amp;":"&amp;TEXT(MINUTE(INDEX('Content calendar'!$B$7:$B$506,MATCH(346,'Content calendar'!$P$7:$P$506,0))),"00"),"")</f>
        <v/>
      </c>
      <c r="C347" s="49">
        <f>IFERROR(INDEX('Content calendar'!$K$7:$K$506,MATCH(346,'Content calendar'!$P$7:$P$506,0))&amp;"","")</f>
        <v/>
      </c>
      <c r="D347" s="49">
        <f>IFERROR(INDEX('Content calendar'!$L$7:$L$506,MATCH(346,'Content calendar'!$P$7:$P$506,0))&amp;"","")</f>
        <v/>
      </c>
      <c r="E347" s="49">
        <f>IFERROR(INDEX('Content calendar'!$O$7:$O$506,MATCH(346,'Content calendar'!$P$7:$P$506,0))&amp;"","")</f>
        <v/>
      </c>
    </row>
    <row r="348">
      <c r="A348" s="49">
        <f>IFERROR(INDEX('Content calendar'!$H$7:$H$506,MATCH(347,'Content calendar'!$P$7:$P$506,0))&amp;"","")</f>
        <v/>
      </c>
      <c r="B348" s="49">
        <f>IFERROR(YEAR(INDEX('Content calendar'!$A$7:$A$506,MATCH(347,'Content calendar'!$P$7:$P$506,0)))&amp;"-"&amp;TEXT(MONTH(INDEX('Content calendar'!$A$7:$A$506,MATCH(347,'Content calendar'!$P$7:$P$506,0))),"00")&amp;"-"&amp;TEXT(DAY(INDEX('Content calendar'!$A$7:$A$506,MATCH(347,'Content calendar'!$P$7:$P$506,0))),"00")&amp;" "&amp;TEXT(HOUR(INDEX('Content calendar'!$B$7:$B$506,MATCH(347,'Content calendar'!$P$7:$P$506,0))),"00")&amp;":"&amp;TEXT(MINUTE(INDEX('Content calendar'!$B$7:$B$506,MATCH(347,'Content calendar'!$P$7:$P$506,0))),"00"),"")</f>
        <v/>
      </c>
      <c r="C348" s="49">
        <f>IFERROR(INDEX('Content calendar'!$K$7:$K$506,MATCH(347,'Content calendar'!$P$7:$P$506,0))&amp;"","")</f>
        <v/>
      </c>
      <c r="D348" s="49">
        <f>IFERROR(INDEX('Content calendar'!$L$7:$L$506,MATCH(347,'Content calendar'!$P$7:$P$506,0))&amp;"","")</f>
        <v/>
      </c>
      <c r="E348" s="49">
        <f>IFERROR(INDEX('Content calendar'!$O$7:$O$506,MATCH(347,'Content calendar'!$P$7:$P$506,0))&amp;"","")</f>
        <v/>
      </c>
    </row>
    <row r="349">
      <c r="A349" s="49">
        <f>IFERROR(INDEX('Content calendar'!$H$7:$H$506,MATCH(348,'Content calendar'!$P$7:$P$506,0))&amp;"","")</f>
        <v/>
      </c>
      <c r="B349" s="49">
        <f>IFERROR(YEAR(INDEX('Content calendar'!$A$7:$A$506,MATCH(348,'Content calendar'!$P$7:$P$506,0)))&amp;"-"&amp;TEXT(MONTH(INDEX('Content calendar'!$A$7:$A$506,MATCH(348,'Content calendar'!$P$7:$P$506,0))),"00")&amp;"-"&amp;TEXT(DAY(INDEX('Content calendar'!$A$7:$A$506,MATCH(348,'Content calendar'!$P$7:$P$506,0))),"00")&amp;" "&amp;TEXT(HOUR(INDEX('Content calendar'!$B$7:$B$506,MATCH(348,'Content calendar'!$P$7:$P$506,0))),"00")&amp;":"&amp;TEXT(MINUTE(INDEX('Content calendar'!$B$7:$B$506,MATCH(348,'Content calendar'!$P$7:$P$506,0))),"00"),"")</f>
        <v/>
      </c>
      <c r="C349" s="49">
        <f>IFERROR(INDEX('Content calendar'!$K$7:$K$506,MATCH(348,'Content calendar'!$P$7:$P$506,0))&amp;"","")</f>
        <v/>
      </c>
      <c r="D349" s="49">
        <f>IFERROR(INDEX('Content calendar'!$L$7:$L$506,MATCH(348,'Content calendar'!$P$7:$P$506,0))&amp;"","")</f>
        <v/>
      </c>
      <c r="E349" s="49">
        <f>IFERROR(INDEX('Content calendar'!$O$7:$O$506,MATCH(348,'Content calendar'!$P$7:$P$506,0))&amp;"","")</f>
        <v/>
      </c>
    </row>
    <row r="350">
      <c r="A350" s="49">
        <f>IFERROR(INDEX('Content calendar'!$H$7:$H$506,MATCH(349,'Content calendar'!$P$7:$P$506,0))&amp;"","")</f>
        <v/>
      </c>
      <c r="B350" s="49">
        <f>IFERROR(YEAR(INDEX('Content calendar'!$A$7:$A$506,MATCH(349,'Content calendar'!$P$7:$P$506,0)))&amp;"-"&amp;TEXT(MONTH(INDEX('Content calendar'!$A$7:$A$506,MATCH(349,'Content calendar'!$P$7:$P$506,0))),"00")&amp;"-"&amp;TEXT(DAY(INDEX('Content calendar'!$A$7:$A$506,MATCH(349,'Content calendar'!$P$7:$P$506,0))),"00")&amp;" "&amp;TEXT(HOUR(INDEX('Content calendar'!$B$7:$B$506,MATCH(349,'Content calendar'!$P$7:$P$506,0))),"00")&amp;":"&amp;TEXT(MINUTE(INDEX('Content calendar'!$B$7:$B$506,MATCH(349,'Content calendar'!$P$7:$P$506,0))),"00"),"")</f>
        <v/>
      </c>
      <c r="C350" s="49">
        <f>IFERROR(INDEX('Content calendar'!$K$7:$K$506,MATCH(349,'Content calendar'!$P$7:$P$506,0))&amp;"","")</f>
        <v/>
      </c>
      <c r="D350" s="49">
        <f>IFERROR(INDEX('Content calendar'!$L$7:$L$506,MATCH(349,'Content calendar'!$P$7:$P$506,0))&amp;"","")</f>
        <v/>
      </c>
      <c r="E350" s="49">
        <f>IFERROR(INDEX('Content calendar'!$O$7:$O$506,MATCH(349,'Content calendar'!$P$7:$P$506,0))&amp;"","")</f>
        <v/>
      </c>
    </row>
    <row r="351">
      <c r="A351" s="49">
        <f>IFERROR(INDEX('Content calendar'!$H$7:$H$506,MATCH(350,'Content calendar'!$P$7:$P$506,0))&amp;"","")</f>
        <v/>
      </c>
      <c r="B351" s="49">
        <f>IFERROR(YEAR(INDEX('Content calendar'!$A$7:$A$506,MATCH(350,'Content calendar'!$P$7:$P$506,0)))&amp;"-"&amp;TEXT(MONTH(INDEX('Content calendar'!$A$7:$A$506,MATCH(350,'Content calendar'!$P$7:$P$506,0))),"00")&amp;"-"&amp;TEXT(DAY(INDEX('Content calendar'!$A$7:$A$506,MATCH(350,'Content calendar'!$P$7:$P$506,0))),"00")&amp;" "&amp;TEXT(HOUR(INDEX('Content calendar'!$B$7:$B$506,MATCH(350,'Content calendar'!$P$7:$P$506,0))),"00")&amp;":"&amp;TEXT(MINUTE(INDEX('Content calendar'!$B$7:$B$506,MATCH(350,'Content calendar'!$P$7:$P$506,0))),"00"),"")</f>
        <v/>
      </c>
      <c r="C351" s="49">
        <f>IFERROR(INDEX('Content calendar'!$K$7:$K$506,MATCH(350,'Content calendar'!$P$7:$P$506,0))&amp;"","")</f>
        <v/>
      </c>
      <c r="D351" s="49">
        <f>IFERROR(INDEX('Content calendar'!$L$7:$L$506,MATCH(350,'Content calendar'!$P$7:$P$506,0))&amp;"","")</f>
        <v/>
      </c>
      <c r="E351" s="49">
        <f>IFERROR(INDEX('Content calendar'!$O$7:$O$506,MATCH(350,'Content calendar'!$P$7:$P$506,0))&amp;"","")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Hopper HQ</dc:creator>
  <dc:title xmlns:dc="http://purl.org/dc/elements/1.1/">Social Media Content Calendar Template</dc:title>
  <dcterms:created xmlns:dcterms="http://purl.org/dc/terms/" xmlns:xsi="http://www.w3.org/2001/XMLSchema-instance" xsi:type="dcterms:W3CDTF">2026-10-14T12:35:30Z</dcterms:created>
  <dcterms:modified xmlns:dcterms="http://purl.org/dc/terms/" xmlns:xsi="http://www.w3.org/2001/XMLSchema-instance" xsi:type="dcterms:W3CDTF">2026-10-14T12:35:31Z</dcterms:modified>
</cp:coreProperties>
</file>